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4.xml.rels" ContentType="application/vnd.openxmlformats-package.relationships+xml"/>
  <Override PartName="/xl/worksheets/_rels/sheet23.xml.rels" ContentType="application/vnd.openxmlformats-package.relationships+xml"/>
  <Override PartName="/xl/worksheets/_rels/sheet22.xml.rels" ContentType="application/vnd.openxmlformats-package.relationships+xml"/>
  <Override PartName="/xl/worksheets/_rels/sheet21.xml.rels" ContentType="application/vnd.openxmlformats-package.relationships+xml"/>
  <Override PartName="/xl/worksheets/_rels/sheet5.xml.rels" ContentType="application/vnd.openxmlformats-package.relationships+xml"/>
  <Override PartName="/xl/worksheets/_rels/sheet34.xml.rels" ContentType="application/vnd.openxmlformats-package.relationships+xml"/>
  <Override PartName="/xl/worksheets/_rels/sheet6.xml.rels" ContentType="application/vnd.openxmlformats-package.relationships+xml"/>
  <Override PartName="/xl/worksheets/_rels/sheet31.xml.rels" ContentType="application/vnd.openxmlformats-package.relationships+xml"/>
  <Override PartName="/xl/worksheets/_rels/sheet29.xml.rels" ContentType="application/vnd.openxmlformats-package.relationships+xml"/>
  <Override PartName="/xl/worksheets/_rels/sheet30.xml.rels" ContentType="application/vnd.openxmlformats-package.relationships+xml"/>
  <Override PartName="/xl/worksheets/_rels/sheet28.xml.rels" ContentType="application/vnd.openxmlformats-package.relationships+xml"/>
  <Override PartName="/xl/worksheets/_rels/sheet13.xml.rels" ContentType="application/vnd.openxmlformats-package.relationships+xml"/>
  <Override PartName="/xl/worksheets/_rels/sheet25.xml.rels" ContentType="application/vnd.openxmlformats-package.relationships+xml"/>
  <Override PartName="/xl/worksheets/_rels/sheet14.xml.rels" ContentType="application/vnd.openxmlformats-package.relationships+xml"/>
  <Override PartName="/xl/worksheets/_rels/sheet8.xml.rels" ContentType="application/vnd.openxmlformats-package.relationships+xml"/>
  <Override PartName="/xl/worksheets/_rels/sheet26.xml.rels" ContentType="application/vnd.openxmlformats-package.relationships+xml"/>
  <Override PartName="/xl/worksheets/_rels/sheet9.xml.rels" ContentType="application/vnd.openxmlformats-package.relationships+xml"/>
  <Override PartName="/xl/worksheets/_rels/sheet27.xml.rels" ContentType="application/vnd.openxmlformats-package.relationships+xml"/>
  <Override PartName="/xl/worksheets/_rels/sheet11.xml.rels" ContentType="application/vnd.openxmlformats-package.relationships+xml"/>
  <Override PartName="/xl/worksheets/_rels/sheet32.xml.rels" ContentType="application/vnd.openxmlformats-package.relationships+xml"/>
  <Override PartName="/xl/worksheets/_rels/sheet33.xml.rels" ContentType="application/vnd.openxmlformats-package.relationships+xml"/>
  <Override PartName="/xl/worksheets/_rels/sheet19.xml.rels" ContentType="application/vnd.openxmlformats-package.relationships+xml"/>
  <Override PartName="/xl/worksheets/_rels/sheet4.xml.rels" ContentType="application/vnd.openxmlformats-package.relationships+xml"/>
  <Override PartName="/xl/worksheets/_rels/sheet10.xml.rels" ContentType="application/vnd.openxmlformats-package.relationships+xml"/>
  <Override PartName="/xl/worksheets/_rels/sheet7.xml.rels" ContentType="application/vnd.openxmlformats-package.relationships+xml"/>
  <Override PartName="/xl/worksheets/_rels/sheet12.xml.rels" ContentType="application/vnd.openxmlformats-package.relationships+xml"/>
  <Override PartName="/xl/worksheets/_rels/sheet15.xml.rels" ContentType="application/vnd.openxmlformats-package.relationships+xml"/>
  <Override PartName="/xl/worksheets/_rels/sheet1.xml.rels" ContentType="application/vnd.openxmlformats-package.relationships+xml"/>
  <Override PartName="/xl/worksheets/_rels/sheet16.xml.rels" ContentType="application/vnd.openxmlformats-package.relationships+xml"/>
  <Override PartName="/xl/worksheets/_rels/sheet2.xml.rels" ContentType="application/vnd.openxmlformats-package.relationships+xml"/>
  <Override PartName="/xl/worksheets/_rels/sheet17.xml.rels" ContentType="application/vnd.openxmlformats-package.relationships+xml"/>
  <Override PartName="/xl/worksheets/_rels/sheet3.xml.rels" ContentType="application/vnd.openxmlformats-package.relationships+xml"/>
  <Override PartName="/xl/worksheets/_rels/sheet18.xml.rels" ContentType="application/vnd.openxmlformats-package.relationships+xml"/>
  <Override PartName="/xl/worksheets/_rels/sheet20.xml.rels" ContentType="application/vnd.openxmlformats-package.relationship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30.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31.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xml" ContentType="application/vnd.openxmlformats-officedocument.spreadsheetml.worksheet+xml"/>
  <Override PartName="/xl/worksheets/sheet18.xml" ContentType="application/vnd.openxmlformats-officedocument.spreadsheetml.worksheet+xml"/>
  <Override PartName="/xl/worksheets/sheet20.xml" ContentType="application/vnd.openxmlformats-officedocument.spreadsheetml.worksheet+xml"/>
  <Override PartName="/xl/worksheets/sheet2.xml" ContentType="application/vnd.openxmlformats-officedocument.spreadsheetml.worksheet+xml"/>
  <Override PartName="/xl/worksheets/sheet19.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sharedStrings.xml" ContentType="application/vnd.openxmlformats-officedocument.spreadsheetml.sharedStrings+xml"/>
  <Override PartName="/xl/drawings/drawing29.xml" ContentType="application/vnd.openxmlformats-officedocument.drawing+xml"/>
  <Override PartName="/xl/drawings/drawing28.xml" ContentType="application/vnd.openxmlformats-officedocument.drawing+xml"/>
  <Override PartName="/xl/drawings/drawing27.xml" ContentType="application/vnd.openxmlformats-officedocument.drawing+xml"/>
  <Override PartName="/xl/drawings/drawing26.xml" ContentType="application/vnd.openxmlformats-officedocument.drawing+xml"/>
  <Override PartName="/xl/drawings/drawing25.xml" ContentType="application/vnd.openxmlformats-officedocument.drawing+xml"/>
  <Override PartName="/xl/drawings/drawing8.xml" ContentType="application/vnd.openxmlformats-officedocument.drawing+xml"/>
  <Override PartName="/xl/drawings/drawing17.xml" ContentType="application/vnd.openxmlformats-officedocument.drawing+xml"/>
  <Override PartName="/xl/drawings/drawing12.xml" ContentType="application/vnd.openxmlformats-officedocument.drawing+xml"/>
  <Override PartName="/xl/drawings/drawing3.xml" ContentType="application/vnd.openxmlformats-officedocument.drawing+xml"/>
  <Override PartName="/xl/drawings/drawing18.xml" ContentType="application/vnd.openxmlformats-officedocument.drawing+xml"/>
  <Override PartName="/xl/drawings/drawing9.xml" ContentType="application/vnd.openxmlformats-officedocument.drawing+xml"/>
  <Override PartName="/xl/drawings/drawing20.xml" ContentType="application/vnd.openxmlformats-officedocument.drawing+xml"/>
  <Override PartName="/xl/drawings/drawing13.xml" ContentType="application/vnd.openxmlformats-officedocument.drawing+xml"/>
  <Override PartName="/xl/drawings/drawing4.xml" ContentType="application/vnd.openxmlformats-officedocument.drawing+xml"/>
  <Override PartName="/xl/drawings/drawing30.xml" ContentType="application/vnd.openxmlformats-officedocument.drawing+xml"/>
  <Override PartName="/xl/drawings/_rels/drawing24.xml.rels" ContentType="application/vnd.openxmlformats-package.relationships+xml"/>
  <Override PartName="/xl/drawings/_rels/drawing23.xml.rels" ContentType="application/vnd.openxmlformats-package.relationships+xml"/>
  <Override PartName="/xl/drawings/_rels/drawing22.xml.rels" ContentType="application/vnd.openxmlformats-package.relationships+xml"/>
  <Override PartName="/xl/drawings/_rels/drawing21.xml.rels" ContentType="application/vnd.openxmlformats-package.relationships+xml"/>
  <Override PartName="/xl/drawings/_rels/drawing19.xml.rels" ContentType="application/vnd.openxmlformats-package.relationships+xml"/>
  <Override PartName="/xl/drawings/_rels/drawing4.xml.rels" ContentType="application/vnd.openxmlformats-package.relationships+xml"/>
  <Override PartName="/xl/drawings/_rels/drawing29.xml.rels" ContentType="application/vnd.openxmlformats-package.relationships+xml"/>
  <Override PartName="/xl/drawings/_rels/drawing5.xml.rels" ContentType="application/vnd.openxmlformats-package.relationships+xml"/>
  <Override PartName="/xl/drawings/_rels/drawing3.xml.rels" ContentType="application/vnd.openxmlformats-package.relationships+xml"/>
  <Override PartName="/xl/drawings/_rels/drawing28.xml.rels" ContentType="application/vnd.openxmlformats-package.relationships+xml"/>
  <Override PartName="/xl/drawings/_rels/drawing20.xml.rels" ContentType="application/vnd.openxmlformats-package.relationships+xml"/>
  <Override PartName="/xl/drawings/_rels/drawing18.xml.rels" ContentType="application/vnd.openxmlformats-package.relationships+xml"/>
  <Override PartName="/xl/drawings/_rels/drawing12.xml.rels" ContentType="application/vnd.openxmlformats-package.relationships+xml"/>
  <Override PartName="/xl/drawings/_rels/drawing32.xml.rels" ContentType="application/vnd.openxmlformats-package.relationships+xml"/>
  <Override PartName="/xl/drawings/_rels/drawing8.xml.rels" ContentType="application/vnd.openxmlformats-package.relationships+xml"/>
  <Override PartName="/xl/drawings/_rels/drawing13.xml.rels" ContentType="application/vnd.openxmlformats-package.relationships+xml"/>
  <Override PartName="/xl/drawings/_rels/drawing25.xml.rels" ContentType="application/vnd.openxmlformats-package.relationships+xml"/>
  <Override PartName="/xl/drawings/_rels/drawing26.xml.rels" ContentType="application/vnd.openxmlformats-package.relationships+xml"/>
  <Override PartName="/xl/drawings/_rels/drawing1.xml.rels" ContentType="application/vnd.openxmlformats-package.relationships+xml"/>
  <Override PartName="/xl/drawings/_rels/drawing27.xml.rels" ContentType="application/vnd.openxmlformats-package.relationships+xml"/>
  <Override PartName="/xl/drawings/_rels/drawing2.xml.rels" ContentType="application/vnd.openxmlformats-package.relationships+xml"/>
  <Override PartName="/xl/drawings/_rels/drawing9.xml.rels" ContentType="application/vnd.openxmlformats-package.relationships+xml"/>
  <Override PartName="/xl/drawings/_rels/drawing33.xml.rels" ContentType="application/vnd.openxmlformats-package.relationships+xml"/>
  <Override PartName="/xl/drawings/_rels/drawing30.xml.rels" ContentType="application/vnd.openxmlformats-package.relationships+xml"/>
  <Override PartName="/xl/drawings/_rels/drawing6.xml.rels" ContentType="application/vnd.openxmlformats-package.relationships+xml"/>
  <Override PartName="/xl/drawings/_rels/drawing34.xml.rels" ContentType="application/vnd.openxmlformats-package.relationships+xml"/>
  <Override PartName="/xl/drawings/_rels/drawing31.xml.rels" ContentType="application/vnd.openxmlformats-package.relationships+xml"/>
  <Override PartName="/xl/drawings/_rels/drawing7.xml.rels" ContentType="application/vnd.openxmlformats-package.relationships+xml"/>
  <Override PartName="/xl/drawings/_rels/drawing17.xml.rels" ContentType="application/vnd.openxmlformats-package.relationships+xml"/>
  <Override PartName="/xl/drawings/_rels/drawing11.xml.rels" ContentType="application/vnd.openxmlformats-package.relationships+xml"/>
  <Override PartName="/xl/drawings/_rels/drawing16.xml.rels" ContentType="application/vnd.openxmlformats-package.relationships+xml"/>
  <Override PartName="/xl/drawings/_rels/drawing10.xml.rels" ContentType="application/vnd.openxmlformats-package.relationships+xml"/>
  <Override PartName="/xl/drawings/_rels/drawing15.xml.rels" ContentType="application/vnd.openxmlformats-package.relationships+xml"/>
  <Override PartName="/xl/drawings/_rels/drawing14.xml.rels" ContentType="application/vnd.openxmlformats-package.relationship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7.xml" ContentType="application/vnd.openxmlformats-officedocument.drawing+xml"/>
  <Override PartName="/xl/drawings/drawing16.xml" ContentType="application/vnd.openxmlformats-officedocument.drawing+xml"/>
  <Override PartName="/xl/drawings/drawing10.xml" ContentType="application/vnd.openxmlformats-officedocument.drawing+xml"/>
  <Override PartName="/xl/drawings/drawing1.xml" ContentType="application/vnd.openxmlformats-officedocument.drawing+xml"/>
  <Override PartName="/xl/drawings/drawing6.xml" ContentType="application/vnd.openxmlformats-officedocument.drawing+xml"/>
  <Override PartName="/xl/drawings/drawing15.xml" ContentType="application/vnd.openxmlformats-officedocument.drawing+xml"/>
  <Override PartName="/xl/drawings/drawing5.xml" ContentType="application/vnd.openxmlformats-officedocument.drawing+xml"/>
  <Override PartName="/xl/drawings/drawing14.xml" ContentType="application/vnd.openxmlformats-officedocument.drawing+xml"/>
  <Override PartName="/xl/drawings/drawing19.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10.xml" ContentType="application/vnd.openxmlformats-officedocument.drawingml.chart+xml"/>
  <Override PartName="/xl/charts/chart6.xml" ContentType="application/vnd.openxmlformats-officedocument.drawingml.chart+xml"/>
  <Override PartName="/xl/charts/chart11.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0_Cover" sheetId="1" state="visible" r:id="rId3"/>
    <sheet name="01_Read_Me" sheetId="2" state="visible" r:id="rId4"/>
    <sheet name="02_Executive_Dashboard" sheetId="3" state="visible" r:id="rId5"/>
    <sheet name="Mobile_Summary" sheetId="4" state="visible" r:id="rId6"/>
    <sheet name="03_Model_Map" sheetId="5" state="visible" r:id="rId7"/>
    <sheet name="04_Control_Panel" sheetId="6" state="visible" r:id="rId8"/>
    <sheet name="05_Assumptions" sheetId="7" state="visible" r:id="rId9"/>
    <sheet name="06_Source_Register" sheetId="8" state="visible" r:id="rId10"/>
    <sheet name="07_SKU_Master" sheetId="9" state="visible" r:id="rId11"/>
    <sheet name="08_Pricing_Gross_to_Net" sheetId="10" state="visible" r:id="rId12"/>
    <sheet name="09_Unit_Economics" sheetId="11" state="visible" r:id="rId13"/>
    <sheet name="10_Customer_Cohorts" sheetId="12" state="visible" r:id="rId14"/>
    <sheet name="11_Channel_Rollout" sheetId="13" state="visible" r:id="rId15"/>
    <sheet name="12_Sales_Volume" sheetId="14" state="visible" r:id="rId16"/>
    <sheet name="13_Revenue_Build" sheetId="15" state="visible" r:id="rId17"/>
    <sheet name="14_COGS" sheetId="16" state="visible" r:id="rId18"/>
    <sheet name="15_Freight_Customs_3PL" sheetId="17" state="visible" r:id="rId19"/>
    <sheet name="16_Inventory_Purchasing" sheetId="18" state="visible" r:id="rId20"/>
    <sheet name="17_Working_Capital" sheetId="19" state="visible" r:id="rId21"/>
    <sheet name="18_Headcount" sheetId="20" state="visible" r:id="rId22"/>
    <sheet name="19_Marketing_CAC" sheetId="21" state="visible" r:id="rId23"/>
    <sheet name="20_Operating_Expenses" sheetId="22" state="visible" r:id="rId24"/>
    <sheet name="21_CAPEX_Launch_Costs" sheetId="23" state="visible" r:id="rId25"/>
    <sheet name="22_Funding_Use_of_Funds" sheetId="24" state="visible" r:id="rId26"/>
    <sheet name="23_Monthly_PnL" sheetId="25" state="visible" r:id="rId27"/>
    <sheet name="24_Cash_Flow" sheetId="26" state="visible" r:id="rId28"/>
    <sheet name="25_Balance_Sheet" sheetId="27" state="visible" r:id="rId29"/>
    <sheet name="26_Break_Even_Payback" sheetId="28" state="visible" r:id="rId30"/>
    <sheet name="27_Scenarios" sheetId="29" state="visible" r:id="rId31"/>
    <sheet name="28_Sensitivity" sheetId="30" state="visible" r:id="rId32"/>
    <sheet name="29_ROI_ROIC" sheetId="31" state="visible" r:id="rId33"/>
    <sheet name="30_Valuation" sheetId="32" state="visible" r:id="rId34"/>
    <sheet name="31_Investor_Returns" sheetId="33" state="visible" r:id="rId35"/>
    <sheet name="32_Model_Checks" sheetId="34" state="visible" r:id="rId36"/>
  </sheets>
  <definedNames>
    <definedName function="false" hidden="false" localSheetId="0" name="_xlnm.Print_Area" vbProcedure="false">00_Cover!$A$1:$M$46</definedName>
    <definedName function="false" hidden="false" localSheetId="1" name="_xlnm.Print_Area" vbProcedure="false">01_Read_Me!$A$1:$D$30</definedName>
    <definedName function="false" hidden="false" localSheetId="2" name="_xlnm.Print_Area" vbProcedure="false">02_Executive_Dashboard!$A$1:$H$66</definedName>
    <definedName function="false" hidden="false" localSheetId="4" name="_xlnm.Print_Area" vbProcedure="false">03_Model_Map!$A$1:$J$37</definedName>
    <definedName function="false" hidden="false" localSheetId="5" name="_xlnm.Print_Area" vbProcedure="false">04_Control_Panel!$B$2:$H$42</definedName>
    <definedName function="false" hidden="false" localSheetId="6" name="_xlnm.Print_Area" vbProcedure="false">05_Assumptions!$B$2:$J$65</definedName>
    <definedName function="false" hidden="false" localSheetId="7" name="_xlnm.Print_Area" vbProcedure="false">06_Source_Register!$B$2:$H$15</definedName>
    <definedName function="false" hidden="false" localSheetId="8" name="_xlnm.Print_Area" vbProcedure="false">07_SKU_Master!$B$2:$H$16</definedName>
    <definedName function="false" hidden="false" localSheetId="9" name="_xlnm.Print_Area" vbProcedure="false">08_Pricing_Gross_to_Net!$B$2:$J$17</definedName>
    <definedName function="false" hidden="false" localSheetId="10" name="_xlnm.Print_Area" vbProcedure="false">09_Unit_Economics!$B$2:$L$33</definedName>
    <definedName function="false" hidden="false" localSheetId="11" name="_xlnm.Print_Area" vbProcedure="false">10_Customer_Cohorts!$B$2:$N$15</definedName>
    <definedName function="false" hidden="false" localSheetId="12" name="_xlnm.Print_Area" vbProcedure="false">11_Channel_Rollout!$B$2:$H$44</definedName>
    <definedName function="false" hidden="false" localSheetId="13" name="_xlnm.Print_Area" vbProcedure="false">12_Sales_Volume!$B$2:$H$47</definedName>
    <definedName function="false" hidden="false" localSheetId="14" name="_xlnm.Print_Area" vbProcedure="false">13_Revenue_Build!$B$2:$H$55</definedName>
    <definedName function="false" hidden="false" localSheetId="15" name="_xlnm.Print_Area" vbProcedure="false">14_COGS!$B$2:$H$14</definedName>
    <definedName function="false" hidden="false" localSheetId="16" name="_xlnm.Print_Area" vbProcedure="false">15_Freight_Customs_3PL!$B$2:$H$15</definedName>
    <definedName function="false" hidden="false" localSheetId="17" name="_xlnm.Print_Area" vbProcedure="false">16_Inventory_Purchasing!$B$2:$AS$38</definedName>
    <definedName function="false" hidden="false" localSheetId="18" name="_xlnm.Print_Area" vbProcedure="false">17_Working_Capital!$B$2:$H$16</definedName>
    <definedName function="false" hidden="false" localSheetId="19" name="_xlnm.Print_Area" vbProcedure="false">18_Headcount!$B$2:$H$13</definedName>
    <definedName function="false" hidden="false" localSheetId="20" name="_xlnm.Print_Area" vbProcedure="false">19_Marketing_CAC!$B$2:$H$14</definedName>
    <definedName function="false" hidden="false" localSheetId="21" name="_xlnm.Print_Area" vbProcedure="false">20_Operating_Expenses!$B$2:$H$26</definedName>
    <definedName function="false" hidden="false" localSheetId="22" name="_xlnm.Print_Area" vbProcedure="false">21_CAPEX_Launch_Costs!$B$2:$H$21</definedName>
    <definedName function="false" hidden="false" localSheetId="23" name="_xlnm.Print_Area" vbProcedure="false">22_Funding_Use_of_Funds!$B$2:$H$25</definedName>
    <definedName function="false" hidden="false" localSheetId="24" name="_xlnm.Print_Area" vbProcedure="false">23_Monthly_PnL!$B$2:$K$50</definedName>
    <definedName function="false" hidden="false" localSheetId="25" name="_xlnm.Print_Area" vbProcedure="false">24_Cash_Flow!$B$2:$H$48</definedName>
    <definedName function="false" hidden="false" localSheetId="26" name="_xlnm.Print_Area" vbProcedure="false">25_Balance_Sheet!$B$2:$H$24</definedName>
    <definedName function="false" hidden="false" localSheetId="27" name="_xlnm.Print_Area" vbProcedure="false">26_Break_Even_Payback!$B$2:$AO$21</definedName>
    <definedName function="false" hidden="false" localSheetId="28" name="_xlnm.Print_Area" vbProcedure="false">27_Scenarios!$B$2:$H$20</definedName>
    <definedName function="false" hidden="false" localSheetId="29" name="_xlnm.Print_Area" vbProcedure="false">28_Sensitivity!$B$2:$H$35</definedName>
    <definedName function="false" hidden="false" localSheetId="30" name="_xlnm.Print_Area" vbProcedure="false">29_ROI_ROIC!$B$2:$H$15</definedName>
    <definedName function="false" hidden="false" localSheetId="31" name="_xlnm.Print_Area" vbProcedure="false">30_Valuation!$B$2:$H$14</definedName>
    <definedName function="false" hidden="false" localSheetId="32" name="_xlnm.Print_Area" vbProcedure="false">31_Investor_Returns!$B$2:$H$27</definedName>
    <definedName function="false" hidden="false" localSheetId="33" name="_xlnm.Print_Area" vbProcedure="false">32_Model_Checks!$B$2:$H$27</definedName>
    <definedName function="false" hidden="false" localSheetId="3" name="_xlnm.Print_Area" vbProcedure="false">Mobile_Summary!$A$1:$F$38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<sst xmlns="http://schemas.openxmlformats.org/spreadsheetml/2006/main" count="1819" uniqueCount="983">
  <si>
    <t xml:space="preserve">INTEGRATED FINANCIAL</t>
  </si>
  <si>
    <t xml:space="preserve">&amp; OPERATING MODEL</t>
  </si>
  <si>
    <t xml:space="preserve">—  36-month monthly operating model</t>
  </si>
  <si>
    <t xml:space="preserve">—  Downside, base and upside scenarios</t>
  </si>
  <si>
    <t xml:space="preserve">—  Fully linked financial statements</t>
  </si>
  <si>
    <t xml:space="preserve">VERSION</t>
  </si>
  <si>
    <t xml:space="preserve">3.5  ·  KILDE Institutional Platform — July 2026</t>
  </si>
  <si>
    <t xml:space="preserve">LAST UPDATED</t>
  </si>
  <si>
    <t xml:space="preserve">19 July 2026</t>
  </si>
  <si>
    <t xml:space="preserve">BASE CURRENCY</t>
  </si>
  <si>
    <t xml:space="preserve">NOK (units labelled NOK / kNOK / NOKm)</t>
  </si>
  <si>
    <t xml:space="preserve">BASE SCENARIO</t>
  </si>
  <si>
    <t xml:space="preserve">Base — change on 04_Control_Panel</t>
  </si>
  <si>
    <t xml:space="preserve">MODEL STATUS</t>
  </si>
  <si>
    <t xml:space="preserve">See 32_Model_Checks — dashboard shows live status</t>
  </si>
  <si>
    <t xml:space="preserve">DISTRIBUTION</t>
  </si>
  <si>
    <t xml:space="preserve">Public — controlled release; redistribution by permission</t>
  </si>
  <si>
    <t xml:space="preserve">▶   ENTER EXECUTIVE DASHBOARD</t>
  </si>
  <si>
    <t xml:space="preserve">▷   READ MODEL GUIDE</t>
  </si>
  <si>
    <t xml:space="preserve">Prepared for: Prospective investors and funding partners</t>
  </si>
  <si>
    <t xml:space="preserve">Prepared by: KILDE AS · Founder: Sebastian Lie-Helgesen</t>
  </si>
  <si>
    <t xml:space="preserve">Contact: invest@kildekokosvann.no</t>
  </si>
  <si>
    <t xml:space="preserve">Forward-looking statement: management estimates, unaudited; not an offer of securities; no guarantee of returns. Instrument and valuation TBD with lead investor.  Pricing and cost basis: Product prices, wholesale terms, retailer margins, product costs, freight, customs, 3PL costs, customer-acquisition costs, sales velocity and operating assumptions are indicative management estimates guided by publicly available market benchmarks, preliminary supplier and logistics indications, and comparable commercial economics available as of July 2026. They are not binding quotations, contracted prices or independently verified commercial terms. Every material assumption must be confirmed or replaced by a written quotation, signed agreement or verified market source before investment close.</t>
  </si>
  <si>
    <t xml:space="preserve">01 · Read me — model guide</t>
  </si>
  <si>
    <t xml:space="preserve">v3.5 · July 2026</t>
  </si>
  <si>
    <t xml:space="preserve">Dashboard</t>
  </si>
  <si>
    <t xml:space="preserve">Assumptions</t>
  </si>
  <si>
    <t xml:space="preserve">Statements</t>
  </si>
  <si>
    <t xml:space="preserve">Checks</t>
  </si>
  <si>
    <t xml:space="preserve">Read me — model guide</t>
  </si>
  <si>
    <t xml:space="preserve">How the model is built, how to drive it, what it does not claim</t>
  </si>
  <si>
    <t xml:space="preserve">Purpose</t>
  </si>
  <si>
    <t xml:space="preserve">Integrated 36-month operating and funding model for KILDE Kokosvann supporting a NOK 2.0m seed raise.</t>
  </si>
  <si>
    <t xml:space="preserve">Forecast period</t>
  </si>
  <si>
    <t xml:space="preserve">Monthly M1–M36. Annual summaries in the statements. Extension to FY4–FY5 is a listed enhancement.</t>
  </si>
  <si>
    <t xml:space="preserve">Currency &amp; units</t>
  </si>
  <si>
    <t xml:space="preserve">NOK throughout; each table labels NOK, kNOK or NOKm explicitly. Percentages one decimal; multiples 0.0x.</t>
  </si>
  <si>
    <t xml:space="preserve">Input convention</t>
  </si>
  <si>
    <t xml:space="preserve">BLUE font = hardcoded assumption or editable input. BLACK = formula. GREEN = link to another sheet. Yellow fill = needs management confirmation. Pale-blue fill = written quotation on file.</t>
  </si>
  <si>
    <t xml:space="preserve">Scenario control</t>
  </si>
  <si>
    <t xml:space="preserve">04_Control_Panel: pick Downside / Base / Upside from the dropdown. Scenario outputs on 27_Scenarios; monthly engine shown is Base. Engine (ramps, churn, container logic) runs in a reproducible script; totals, statements, unit economics and checks are live Excel formulas.</t>
  </si>
  <si>
    <t xml:space="preserve">Updating quotations</t>
  </si>
  <si>
    <t xml:space="preserve">When a written quotation lands, overwrite the blue value on 05_Assumptions, set status to Written quotation, fill pale blue, and re-check 32_Model_Checks.</t>
  </si>
  <si>
    <t xml:space="preserve">Interpreting checks</t>
  </si>
  <si>
    <t xml:space="preserve">32_Model_Checks: green PASS / red FAIL. The dashboard shows MODEL STATUS: OK only when every material check passes.</t>
  </si>
  <si>
    <t xml:space="preserve">Known limitations</t>
  </si>
  <si>
    <t xml:space="preserve">Receivables modelled at zero (month-of-sale settlement; DTC prepaid) — disclosed. Tax simplified at 22% after loss carry-forward. FX held constant. No debt. Valuation and investor returns conditional on final terms.</t>
  </si>
  <si>
    <t xml:space="preserve">Pricing &amp; cost basis</t>
  </si>
  <si>
    <t xml:space="preserve">Pricing and cost basis: Product prices, wholesale terms, retailer margins, product costs, freight, customs, 3PL costs, customer-acquisition costs, sales velocity and operating assumptions are indicative management estimates guided by publicly available market benchmarks, preliminary supplier and logistics indications, and comparable commercial economics available as of July 2026. They are not binding quotations, contracted prices or independently verified commercial terms. Every material assumption must be confirmed or replaced by a written quotation, signed agreement or verified market source before investment close.</t>
  </si>
  <si>
    <t xml:space="preserve">Version history</t>
  </si>
  <si>
    <t xml:space="preserve">v1.0 concept (Jun 26) · v2.0 institutional platform · v2.1 reconciled uses · v2.2 expanded schedules · v2.3 claims control · v3.2 institutional redesign: design system, model map, control panel, cohorts, sensitivity heatmaps, dashboard rebuild (17 Jul 26) · v3.3 Source of Life release: single brand authority, packaging system page, video integration, document register (18 Jul 26) · v3.4 campaign-film release: kitchen film, marketing strategy, nutrition guide, global version control (18 Jul 26) · v3.5 institutional consolidation: packaging system page, brand guide single source of truth, data-room portal, claims register, controlled cap statement (19 Jul 26).</t>
  </si>
  <si>
    <t xml:space="preserve">Contact</t>
  </si>
  <si>
    <t xml:space="preserve">Sebastian Lie-Helgesen · invest@kildekokosvann.no · kildekokosvann.netlify.app</t>
  </si>
  <si>
    <t xml:space="preserve">02 · Executive dashboard</t>
  </si>
  <si>
    <t xml:space="preserve">Executive dashboard</t>
  </si>
  <si>
    <t xml:space="preserve">Base scenario · all values link to the supporting schedules · NOK unless labelled</t>
  </si>
  <si>
    <t xml:space="preserve">MODEL STATUS:</t>
  </si>
  <si>
    <t xml:space="preserve">· unverified assumptions remain (see 05) — every price indicative until quoted</t>
  </si>
  <si>
    <t xml:space="preserve">INVESTMENT KPIS</t>
  </si>
  <si>
    <t xml:space="preserve">FUNDING SOUGHT</t>
  </si>
  <si>
    <t xml:space="preserve">FORECAST RUNWAY</t>
  </si>
  <si>
    <t xml:space="preserve">LOWEST CASH POINT</t>
  </si>
  <si>
    <t xml:space="preserve">EBITDA BREAK-EVEN</t>
  </si>
  <si>
    <t xml:space="preserve">CAPITAL PAYBACK</t>
  </si>
  <si>
    <t xml:space="preserve">DOWNSIDE EXTRA FUNDING</t>
  </si>
  <si>
    <t xml:space="preserve">NOK 2.0m</t>
  </si>
  <si>
    <t xml:space="preserve">18+ months</t>
  </si>
  <si>
    <t xml:space="preserve">M11</t>
  </si>
  <si>
    <t xml:space="preserve">M30</t>
  </si>
  <si>
    <t xml:space="preserve">+645 kNOK</t>
  </si>
  <si>
    <t xml:space="preserve">sources = uses</t>
  </si>
  <si>
    <t xml:space="preserve">base case</t>
  </si>
  <si>
    <t xml:space="preserve">M13</t>
  </si>
  <si>
    <t xml:space="preserve">monthly, base</t>
  </si>
  <si>
    <t xml:space="preserve">cum FCF = 2.0m</t>
  </si>
  <si>
    <t xml:space="preserve">disclosed</t>
  </si>
  <si>
    <t xml:space="preserve">OPERATING KPIS</t>
  </si>
  <si>
    <t xml:space="preserve">REVENUE FY2027</t>
  </si>
  <si>
    <t xml:space="preserve">REVENUE FY2029</t>
  </si>
  <si>
    <t xml:space="preserve">GROSS MARGIN FY2029</t>
  </si>
  <si>
    <t xml:space="preserve">DTC CONTRIBUTION</t>
  </si>
  <si>
    <t xml:space="preserve">SUBSCRIBERS M36</t>
  </si>
  <si>
    <t xml:space="preserve">OUTLETS M36</t>
  </si>
  <si>
    <t xml:space="preserve">NOK</t>
  </si>
  <si>
    <t xml:space="preserve">blended</t>
  </si>
  <si>
    <t xml:space="preserve">trial COGS</t>
  </si>
  <si>
    <t xml:space="preserve">FY2027</t>
  </si>
  <si>
    <t xml:space="preserve">FY2028</t>
  </si>
  <si>
    <t xml:space="preserve">FY2029</t>
  </si>
  <si>
    <t xml:space="preserve">Scenario: Base · engine v3.5 · source: sheets 12–25 · mix chart is an indicative M36 run-rate estimate</t>
  </si>
  <si>
    <t xml:space="preserve">M1</t>
  </si>
  <si>
    <t xml:space="preserve">M2</t>
  </si>
  <si>
    <t xml:space="preserve">M3</t>
  </si>
  <si>
    <t xml:space="preserve">M4</t>
  </si>
  <si>
    <t xml:space="preserve">M5</t>
  </si>
  <si>
    <t xml:space="preserve">M6</t>
  </si>
  <si>
    <t xml:space="preserve">M7</t>
  </si>
  <si>
    <t xml:space="preserve">M8</t>
  </si>
  <si>
    <t xml:space="preserve">M9</t>
  </si>
  <si>
    <t xml:space="preserve">M10</t>
  </si>
  <si>
    <t xml:space="preserve">M12</t>
  </si>
  <si>
    <t xml:space="preserve">M14</t>
  </si>
  <si>
    <t xml:space="preserve">M15</t>
  </si>
  <si>
    <t xml:space="preserve">M16</t>
  </si>
  <si>
    <t xml:space="preserve">M17</t>
  </si>
  <si>
    <t xml:space="preserve">M18</t>
  </si>
  <si>
    <t xml:space="preserve">M19</t>
  </si>
  <si>
    <t xml:space="preserve">M20</t>
  </si>
  <si>
    <t xml:space="preserve">M21</t>
  </si>
  <si>
    <t xml:space="preserve">M22</t>
  </si>
  <si>
    <t xml:space="preserve">M23</t>
  </si>
  <si>
    <t xml:space="preserve">M24</t>
  </si>
  <si>
    <t xml:space="preserve">M25</t>
  </si>
  <si>
    <t xml:space="preserve">M26</t>
  </si>
  <si>
    <t xml:space="preserve">M27</t>
  </si>
  <si>
    <t xml:space="preserve">M28</t>
  </si>
  <si>
    <t xml:space="preserve">M29</t>
  </si>
  <si>
    <t xml:space="preserve">M31</t>
  </si>
  <si>
    <t xml:space="preserve">M32</t>
  </si>
  <si>
    <t xml:space="preserve">M33</t>
  </si>
  <si>
    <t xml:space="preserve">M34</t>
  </si>
  <si>
    <t xml:space="preserve">M35</t>
  </si>
  <si>
    <t xml:space="preserve">M36</t>
  </si>
  <si>
    <t xml:space="preserve">DTC subscription</t>
  </si>
  <si>
    <t xml:space="preserve">DTC one-off</t>
  </si>
  <si>
    <t xml:space="preserve">Outlets &amp; venues</t>
  </si>
  <si>
    <t xml:space="preserve">Grocery</t>
  </si>
  <si>
    <t xml:space="preserve">1 L all channels</t>
  </si>
  <si>
    <t xml:space="preserve">Downside</t>
  </si>
  <si>
    <t xml:space="preserve">Base</t>
  </si>
  <si>
    <t xml:space="preserve">Upside</t>
  </si>
  <si>
    <t xml:space="preserve">03 · Mobile investor summary</t>
  </si>
  <si>
    <t xml:space="preserve">Mobile investor summary</t>
  </si>
  <si>
    <t xml:space="preserve">The model on one phone screen — full detail in the sheets that follow</t>
  </si>
  <si>
    <t xml:space="preserve">NOK 2.0m — seed</t>
  </si>
  <si>
    <t xml:space="preserve">REVENUE FY2027 / FY2028 / FY2029</t>
  </si>
  <si>
    <t xml:space="preserve">2.1 / 11.6 / 32.0 NOKm</t>
  </si>
  <si>
    <t xml:space="preserve">EBITDA FY2027 / FY2029</t>
  </si>
  <si>
    <t xml:space="preserve">(0.8) / 11.7 NOKm</t>
  </si>
  <si>
    <t xml:space="preserve">MONTHLY EBITDA BREAK-EVEN</t>
  </si>
  <si>
    <t xml:space="preserve">M11 · capital payback M30</t>
  </si>
  <si>
    <t xml:space="preserve">USE OF FUNDS</t>
  </si>
  <si>
    <t xml:space="preserve">Set-up 0.23 · inventory 1.10 · launch &amp; people 0.40 · contingency 0.28 NOKm</t>
  </si>
  <si>
    <t xml:space="preserve">SCENARIOS (EBITDA FY2029)</t>
  </si>
  <si>
    <t xml:space="preserve">Down 6.9 · Base 11.7 · Up 16.9 NOKm</t>
  </si>
  <si>
    <t xml:space="preserve">Pricing basis: indicative management estimates — see 05_Assumptions.</t>
  </si>
  <si>
    <t xml:space="preserve">▶  OPEN FULL DASHBOARD</t>
  </si>
  <si>
    <t xml:space="preserve">03 · Model map</t>
  </si>
  <si>
    <t xml:space="preserve">Model map</t>
  </si>
  <si>
    <t xml:space="preserve">How value flows through the workbook — every box is a sheet</t>
  </si>
  <si>
    <t xml:space="preserve">ASSUMPTIONS &amp; SOURCES   ·   sheets 05 · 06</t>
  </si>
  <si>
    <t xml:space="preserve">▼</t>
  </si>
  <si>
    <t xml:space="preserve">SKU &amp; CHANNEL ECONOMICS   ·   sheets 07 · 08 · 09</t>
  </si>
  <si>
    <t xml:space="preserve">VOLUMES &amp; REVENUE   ·   sheets 10 · 11 · 12 · 13</t>
  </si>
  <si>
    <t xml:space="preserve">COSTS &amp; INVENTORY   ·   sheets 14 · 15 · 16 · 17</t>
  </si>
  <si>
    <t xml:space="preserve">OPEX · PEOPLE · CAPEX   ·   sheets 18 · 19 · 20 · 21 · 22</t>
  </si>
  <si>
    <t xml:space="preserve">FINANCIAL STATEMENTS   ·   sheets 23 · 24 · 25</t>
  </si>
  <si>
    <t xml:space="preserve">BREAK-EVEN &amp; SCENARIOS   ·   sheets 26 · 27 · 28</t>
  </si>
  <si>
    <t xml:space="preserve">INVESTOR OUTPUTS &amp; CHECKS   ·   sheets 29 · 30 · 31 · 32</t>
  </si>
  <si>
    <t xml:space="preserve">One direction of flow, no circularity: assumptions feed economics, economics feed volumes and costs, costs feed statements, statements feed investor outputs. Checks sit outside the flow and audit all of it.</t>
  </si>
  <si>
    <t xml:space="preserve">04 · Control panel</t>
  </si>
  <si>
    <t xml:space="preserve">Control panel</t>
  </si>
  <si>
    <t xml:space="preserve">Drive the model from one screen — blue cells are yours</t>
  </si>
  <si>
    <t xml:space="preserve">ACTIVE SCENARIO</t>
  </si>
  <si>
    <t xml:space="preserve">Scenario</t>
  </si>
  <si>
    <t xml:space="preserve">Scenario outputs: 27_Scenarios · engine shown = Base</t>
  </si>
  <si>
    <t xml:space="preserve">HEADLINE LEVERS BY SCENARIO</t>
  </si>
  <si>
    <t xml:space="preserve">Lever</t>
  </si>
  <si>
    <t xml:space="preserve">Launch date</t>
  </si>
  <si>
    <t xml:space="preserve">M1 (Oct 2026)</t>
  </si>
  <si>
    <t xml:space="preserve">Landed COGS 330 ml bulk (NOK)</t>
  </si>
  <si>
    <t xml:space="preserve">Freight per container (kNOK)</t>
  </si>
  <si>
    <t xml:space="preserve">USD/NOK sensitivity</t>
  </si>
  <si>
    <t xml:space="preserve">+8%</t>
  </si>
  <si>
    <t xml:space="preserve">base</t>
  </si>
  <si>
    <t xml:space="preserve">−5%</t>
  </si>
  <si>
    <t xml:space="preserve">Subscriber adds ramp</t>
  </si>
  <si>
    <t xml:space="preserve">−30%</t>
  </si>
  <si>
    <t xml:space="preserve">+35%</t>
  </si>
  <si>
    <t xml:space="preserve">Subscriber churn /mo</t>
  </si>
  <si>
    <t xml:space="preserve">CAC subscriber (NOK)</t>
  </si>
  <si>
    <t xml:space="preserve">Outlet additions /mo</t>
  </si>
  <si>
    <t xml:space="preserve">+30%</t>
  </si>
  <si>
    <t xml:space="preserve">Outlet velocity (u/wk)</t>
  </si>
  <si>
    <t xml:space="preserve">Grocery launch</t>
  </si>
  <si>
    <t xml:space="preserve">Store velocity (u/wk)</t>
  </si>
  <si>
    <t xml:space="preserve">Retailer margin</t>
  </si>
  <si>
    <t xml:space="preserve">40%</t>
  </si>
  <si>
    <t xml:space="preserve">38%</t>
  </si>
  <si>
    <t xml:space="preserve">Distributor margin</t>
  </si>
  <si>
    <t xml:space="preserve">25%</t>
  </si>
  <si>
    <t xml:space="preserve">Marketing intensity</t>
  </si>
  <si>
    <t xml:space="preserve">−25%</t>
  </si>
  <si>
    <t xml:space="preserve">+25%</t>
  </si>
  <si>
    <t xml:space="preserve">Headcount timing</t>
  </si>
  <si>
    <t xml:space="preserve">+3 mo</t>
  </si>
  <si>
    <t xml:space="preserve">−1 mo</t>
  </si>
  <si>
    <t xml:space="preserve">Funding amount (NOKm)</t>
  </si>
  <si>
    <t xml:space="preserve">Contingency (kNOK)</t>
  </si>
  <si>
    <t xml:space="preserve">Exit multiple (illustrative)</t>
  </si>
  <si>
    <t xml:space="preserve">5x</t>
  </si>
  <si>
    <t xml:space="preserve">6x</t>
  </si>
  <si>
    <t xml:space="preserve">8x</t>
  </si>
  <si>
    <t xml:space="preserve">EFFECT OF SELECTED SCENARIO (BASE SHOWN)</t>
  </si>
  <si>
    <t xml:space="preserve">Output</t>
  </si>
  <si>
    <t xml:space="preserve">Revenue Y3 (NOKm)</t>
  </si>
  <si>
    <t xml:space="preserve">EBITDA Y3 (NOKm)</t>
  </si>
  <si>
    <t xml:space="preserve">Cash minimum (kNOK)</t>
  </si>
  <si>
    <t xml:space="preserve">–</t>
  </si>
  <si>
    <t xml:space="preserve">EBITDA break-even</t>
  </si>
  <si>
    <t xml:space="preserve">Additional funding (kNOK)</t>
  </si>
  <si>
    <t xml:space="preserve">Illustrative Y3 EV @ scenario multiple (NOKm)</t>
  </si>
  <si>
    <t xml:space="preserve">Illustrative EV = scenario EBITDA × scenario exit multiple. Illustrative management scenarios only — not guaranteed returns; terms TBD (sheets 30–31).</t>
  </si>
  <si>
    <t xml:space="preserve">05 · Assumption register</t>
  </si>
  <si>
    <t xml:space="preserve">Assumption register</t>
  </si>
  <si>
    <t xml:space="preserve">Sectioned by driver · every line carries value, unit, source, date, status, owner</t>
  </si>
  <si>
    <t xml:space="preserve">MACRO &amp; TAX</t>
  </si>
  <si>
    <t xml:space="preserve">Assumption</t>
  </si>
  <si>
    <t xml:space="preserve">Value</t>
  </si>
  <si>
    <t xml:space="preserve">Unit</t>
  </si>
  <si>
    <t xml:space="preserve">Source</t>
  </si>
  <si>
    <t xml:space="preserve">Date</t>
  </si>
  <si>
    <t xml:space="preserve">Status</t>
  </si>
  <si>
    <t xml:space="preserve">Owner</t>
  </si>
  <si>
    <t xml:space="preserve">Reviewed</t>
  </si>
  <si>
    <t xml:space="preserve">Comment</t>
  </si>
  <si>
    <t xml:space="preserve">VAT on food &amp; beverages</t>
  </si>
  <si>
    <t xml:space="preserve">%</t>
  </si>
  <si>
    <t xml:space="preserve">Skatteetaten</t>
  </si>
  <si>
    <t xml:space="preserve">2026-07</t>
  </si>
  <si>
    <t xml:space="preserve">Public market benchmark</t>
  </si>
  <si>
    <t xml:space="preserve">Founder</t>
  </si>
  <si>
    <t xml:space="preserve">Reduced foodstuff rate</t>
  </si>
  <si>
    <t xml:space="preserve">Corporate tax</t>
  </si>
  <si>
    <t xml:space="preserve">Norwegian tax law</t>
  </si>
  <si>
    <t xml:space="preserve">After loss carry-forward</t>
  </si>
  <si>
    <t xml:space="preserve">USD/NOK planning rate</t>
  </si>
  <si>
    <t xml:space="preserve">Norges Bank ref</t>
  </si>
  <si>
    <t xml:space="preserve">Held constant; lever on 04</t>
  </si>
  <si>
    <t xml:space="preserve">PRODUCT COSTS</t>
  </si>
  <si>
    <t xml:space="preserve">Landed COGS 330 ml — trial</t>
  </si>
  <si>
    <t xml:space="preserve">NOK/unit</t>
  </si>
  <si>
    <t xml:space="preserve">Co-packer indication</t>
  </si>
  <si>
    <t xml:space="preserve">2026-06</t>
  </si>
  <si>
    <t xml:space="preserve">Preliminary indication</t>
  </si>
  <si>
    <t xml:space="preserve">First container, pre-RFQ</t>
  </si>
  <si>
    <t xml:space="preserve">Landed COGS 330 ml — bulk</t>
  </si>
  <si>
    <t xml:space="preserve">Annual contract volume</t>
  </si>
  <si>
    <t xml:space="preserve">Landed COGS 1 L — trial / bulk</t>
  </si>
  <si>
    <t xml:space="preserve">16.50 / 14.20</t>
  </si>
  <si>
    <t xml:space="preserve">FREIGHT &amp; IMPORTS</t>
  </si>
  <si>
    <t xml:space="preserve">Sea freight per 20ft</t>
  </si>
  <si>
    <t xml:space="preserve">kNOK</t>
  </si>
  <si>
    <t xml:space="preserve">Forwarder indication</t>
  </si>
  <si>
    <t xml:space="preserve">Volatile; downside +13%</t>
  </si>
  <si>
    <t xml:space="preserve">Container capacity</t>
  </si>
  <si>
    <t xml:space="preserve">20,000 / 4,000</t>
  </si>
  <si>
    <t xml:space="preserve">units 330/1L</t>
  </si>
  <si>
    <t xml:space="preserve">Prepaid; ~2 months to arrival</t>
  </si>
  <si>
    <t xml:space="preserve">3PL &amp; FULFILMENT</t>
  </si>
  <si>
    <t xml:space="preserve">DTC fulfilment 330 ml</t>
  </si>
  <si>
    <t xml:space="preserve">Oslo 3PL quotation range</t>
  </si>
  <si>
    <t xml:space="preserve">Pick/pack, materials, net ship</t>
  </si>
  <si>
    <t xml:space="preserve">DTC fulfilment 1 L</t>
  </si>
  <si>
    <t xml:space="preserve">PRICING &amp; VAT</t>
  </si>
  <si>
    <t xml:space="preserve">DTC 12-pack price</t>
  </si>
  <si>
    <t xml:space="preserve">NOK incl VAT</t>
  </si>
  <si>
    <t xml:space="preserve">Management pricing</t>
  </si>
  <si>
    <t xml:space="preserve">Management estimate</t>
  </si>
  <si>
    <t xml:space="preserve">303.48 ex VAT = 25.29/unit</t>
  </si>
  <si>
    <t xml:space="preserve">Subscription 12-pack</t>
  </si>
  <si>
    <t xml:space="preserve">10% discount vs one-off</t>
  </si>
  <si>
    <t xml:space="preserve">Grocery RRP 330 ml / 1 L</t>
  </si>
  <si>
    <t xml:space="preserve">24 / 55</t>
  </si>
  <si>
    <t xml:space="preserve">Store price collection</t>
  </si>
  <si>
    <t xml:space="preserve">Sets wholesale at 40% margin</t>
  </si>
  <si>
    <t xml:space="preserve">DTC &amp; SUBSCRIPTION</t>
  </si>
  <si>
    <t xml:space="preserve">Subscriber churn</t>
  </si>
  <si>
    <t xml:space="preserve">%/month</t>
  </si>
  <si>
    <t xml:space="preserve">DTC benchmarks</t>
  </si>
  <si>
    <t xml:space="preserve">Comparable-company benchmark</t>
  </si>
  <si>
    <t xml:space="preserve">Scenario variable</t>
  </si>
  <si>
    <t xml:space="preserve">CAC — subscriber / one-off</t>
  </si>
  <si>
    <t xml:space="preserve">250 / 150</t>
  </si>
  <si>
    <t xml:space="preserve">Channel benchmarks</t>
  </si>
  <si>
    <t xml:space="preserve">Carried in marketing opex</t>
  </si>
  <si>
    <t xml:space="preserve">OUTLETS &amp; GROCERY</t>
  </si>
  <si>
    <t xml:space="preserve">Outlet velocity</t>
  </si>
  <si>
    <t xml:space="preserve">units/wk</t>
  </si>
  <si>
    <t xml:space="preserve">Comparable launches</t>
  </si>
  <si>
    <t xml:space="preserve">Grocery velocity at entry</t>
  </si>
  <si>
    <t xml:space="preserve">units/wk/store</t>
  </si>
  <si>
    <t xml:space="preserve">Category data</t>
  </si>
  <si>
    <t xml:space="preserve">Listing gate ≥4</t>
  </si>
  <si>
    <t xml:space="preserve">% of ex-VAT RRP</t>
  </si>
  <si>
    <t xml:space="preserve">Category practice</t>
  </si>
  <si>
    <t xml:space="preserve">Trade &amp; promo allowance</t>
  </si>
  <si>
    <t xml:space="preserve">% of wholesale</t>
  </si>
  <si>
    <t xml:space="preserve">MARKETING &amp; PAYMENTS</t>
  </si>
  <si>
    <t xml:space="preserve">Payment processing</t>
  </si>
  <si>
    <t xml:space="preserve">% of DTC net</t>
  </si>
  <si>
    <t xml:space="preserve">Provider rate cards</t>
  </si>
  <si>
    <t xml:space="preserve">Returns / damages provision</t>
  </si>
  <si>
    <t xml:space="preserve">% of net revenue</t>
  </si>
  <si>
    <t xml:space="preserve">Management</t>
  </si>
  <si>
    <t xml:space="preserve">OPEX &amp; HEADCOUNT</t>
  </si>
  <si>
    <t xml:space="preserve">Monthly opex envelope at launch</t>
  </si>
  <si>
    <t xml:space="preserve">Bottom-up budget (sheet 20)</t>
  </si>
  <si>
    <t xml:space="preserve">Itemised on 20_Operating_Expenses</t>
  </si>
  <si>
    <t xml:space="preserve">1 L attach rate</t>
  </si>
  <si>
    <t xml:space="preserve">% of 330 units</t>
  </si>
  <si>
    <t xml:space="preserve">All channels</t>
  </si>
  <si>
    <t xml:space="preserve">FUNDING &amp; VALUATION</t>
  </si>
  <si>
    <t xml:space="preserve">Seed raise modelled</t>
  </si>
  <si>
    <t xml:space="preserve">Management proposal</t>
  </si>
  <si>
    <t xml:space="preserve">Received M1; instrument TBD</t>
  </si>
  <si>
    <t xml:space="preserve">Pre-money valuation</t>
  </si>
  <si>
    <t xml:space="preserve">TBD</t>
  </si>
  <si>
    <t xml:space="preserve">Lead investor</t>
  </si>
  <si>
    <t xml:space="preserve">—</t>
  </si>
  <si>
    <t xml:space="preserve">Pending verification</t>
  </si>
  <si>
    <t xml:space="preserve">No unsupported number published</t>
  </si>
  <si>
    <t xml:space="preserve">06 · Source register</t>
  </si>
  <si>
    <t xml:space="preserve">Source register</t>
  </si>
  <si>
    <t xml:space="preserve">Where every material figure comes from — hierarchy: signed &gt; quotation &gt; benchmark &gt; estimate</t>
  </si>
  <si>
    <t xml:space="preserve">Figure</t>
  </si>
  <si>
    <t xml:space="preserve">Reference</t>
  </si>
  <si>
    <t xml:space="preserve">European coconut-water market USD 1.57bn (2025)</t>
  </si>
  <si>
    <t xml:space="preserve">Two independent analyst reports</t>
  </si>
  <si>
    <t xml:space="preserve">2025</t>
  </si>
  <si>
    <t xml:space="preserve">Report extracts in data room</t>
  </si>
  <si>
    <t xml:space="preserve">Category growth 13–20% CAGR</t>
  </si>
  <si>
    <t xml:space="preserve">Published analyst reports</t>
  </si>
  <si>
    <t xml:space="preserve">Data room</t>
  </si>
  <si>
    <t xml:space="preserve">Norway vs Sweden price gap 2.2x</t>
  </si>
  <si>
    <t xml:space="preserve">Store-level price collection, leading brand</t>
  </si>
  <si>
    <t xml:space="preserve">Price table: market study, website</t>
  </si>
  <si>
    <t xml:space="preserve">Landed COGS indications</t>
  </si>
  <si>
    <t xml:space="preserve">Two Asian co-packers, pre-RFQ</t>
  </si>
  <si>
    <t xml:space="preserve">Correspondence in data room (NDA)</t>
  </si>
  <si>
    <t xml:space="preserve">3PL fulfilment rates</t>
  </si>
  <si>
    <t xml:space="preserve">Data room (NDA)</t>
  </si>
  <si>
    <t xml:space="preserve">VAT 15% on foodstuffs</t>
  </si>
  <si>
    <t xml:space="preserve">skatteetaten.no</t>
  </si>
  <si>
    <t xml:space="preserve">All forecast outputs</t>
  </si>
  <si>
    <t xml:space="preserve">KILDE 36-month engine v3.5 (this workbook)</t>
  </si>
  <si>
    <t xml:space="preserve">Sheets 12–25</t>
  </si>
  <si>
    <t xml:space="preserve">07 · SKU master</t>
  </si>
  <si>
    <t xml:space="preserve">SKU master</t>
  </si>
  <si>
    <t xml:space="preserve">Launch range and planned extensions</t>
  </si>
  <si>
    <t xml:space="preserve">SKU</t>
  </si>
  <si>
    <t xml:space="preserve">Format</t>
  </si>
  <si>
    <t xml:space="preserve">Cap</t>
  </si>
  <si>
    <t xml:space="preserve">Case</t>
  </si>
  <si>
    <t xml:space="preserve">Pallet</t>
  </si>
  <si>
    <t xml:space="preserve">Shelf life</t>
  </si>
  <si>
    <t xml:space="preserve">KILDE Naturell 330 ml</t>
  </si>
  <si>
    <t xml:space="preserve">Tetra Prisma 330 ml</t>
  </si>
  <si>
    <t xml:space="preserve">Glacier-blue screw cap</t>
  </si>
  <si>
    <t xml:space="preserve">12</t>
  </si>
  <si>
    <t xml:space="preserve">TBC with co-packer</t>
  </si>
  <si>
    <t xml:space="preserve">12 months ambient</t>
  </si>
  <si>
    <t xml:space="preserve">Launch SKU</t>
  </si>
  <si>
    <t xml:space="preserve">KILDE Naturell 1 L</t>
  </si>
  <si>
    <t xml:space="preserve">Tetra Prisma 1 L — same profile, taller</t>
  </si>
  <si>
    <t xml:space="preserve">8</t>
  </si>
  <si>
    <t xml:space="preserve">KILDE Organic 330 ml</t>
  </si>
  <si>
    <t xml:space="preserve">TBC</t>
  </si>
  <si>
    <t xml:space="preserve">12 months</t>
  </si>
  <si>
    <t xml:space="preserve">Planned M12+</t>
  </si>
  <si>
    <t xml:space="preserve">KILDE Pineapple 330 ml</t>
  </si>
  <si>
    <t xml:space="preserve">Concept — post grocery</t>
  </si>
  <si>
    <t xml:space="preserve">KILDE Mango 330 ml</t>
  </si>
  <si>
    <t xml:space="preserve">Cap status — controlled statement: The recommended launch direction uses a glacier-blue cap as a shelf-recognition asset. Final colour, material, MOQ, cost, food-contact compliance, recyclability and lead time remain subject to written supplier confirmation. The approved fallback is a white cap with controlled blue shoulder treatment.</t>
  </si>
  <si>
    <t xml:space="preserve">08 · Pricing — gross to net</t>
  </si>
  <si>
    <t xml:space="preserve">Pricing — gross to net</t>
  </si>
  <si>
    <t xml:space="preserve">From shelf price to company net revenue (indicative, NOK per unit)</t>
  </si>
  <si>
    <t xml:space="preserve">Channel</t>
  </si>
  <si>
    <t xml:space="preserve">Gross incl VAT</t>
  </si>
  <si>
    <t xml:space="preserve">VAT</t>
  </si>
  <si>
    <t xml:space="preserve">Ex VAT</t>
  </si>
  <si>
    <t xml:space="preserve">Retail/dist margin</t>
  </si>
  <si>
    <t xml:space="preserve">Promo allow.</t>
  </si>
  <si>
    <t xml:space="preserve">Returns</t>
  </si>
  <si>
    <t xml:space="preserve">Company net</t>
  </si>
  <si>
    <t xml:space="preserve">DTC 12-pack (unit)</t>
  </si>
  <si>
    <t xml:space="preserve">15%</t>
  </si>
  <si>
    <t xml:space="preserve">1%</t>
  </si>
  <si>
    <t xml:space="preserve">DTC subscription (unit)</t>
  </si>
  <si>
    <t xml:space="preserve">Grocery 330 ml</t>
  </si>
  <si>
    <t xml:space="preserve">40% retailer</t>
  </si>
  <si>
    <t xml:space="preserve">10% of wholesale</t>
  </si>
  <si>
    <t xml:space="preserve">Outlet 330 ml</t>
  </si>
  <si>
    <t xml:space="preserve">venue margin in price</t>
  </si>
  <si>
    <t xml:space="preserve">Grocery 1 L</t>
  </si>
  <si>
    <t xml:space="preserve">10%</t>
  </si>
  <si>
    <t xml:space="preserve">09 · Unit economics</t>
  </si>
  <si>
    <t xml:space="preserve">Unit economics</t>
  </si>
  <si>
    <t xml:space="preserve">Channel panels — live formulas · NOK per 330 ml unit (1 L rows per litre)</t>
  </si>
  <si>
    <t xml:space="preserve">CHANNEL ECONOMICS — TRIAL-CONTAINER COGS</t>
  </si>
  <si>
    <t xml:space="preserve">Price incl VAT</t>
  </si>
  <si>
    <t xml:space="preserve">Net ex VAT</t>
  </si>
  <si>
    <t xml:space="preserve">COGS</t>
  </si>
  <si>
    <t xml:space="preserve">Fulfilment</t>
  </si>
  <si>
    <t xml:space="preserve">Payment/trade</t>
  </si>
  <si>
    <t xml:space="preserve">Gross profit</t>
  </si>
  <si>
    <t xml:space="preserve">GM %</t>
  </si>
  <si>
    <t xml:space="preserve">Contribution</t>
  </si>
  <si>
    <t xml:space="preserve">CM %</t>
  </si>
  <si>
    <t xml:space="preserve">DTC 12-pack</t>
  </si>
  <si>
    <t xml:space="preserve">Outlet wholesale</t>
  </si>
  <si>
    <t xml:space="preserve">Grocery wholesale</t>
  </si>
  <si>
    <t xml:space="preserve">1L DTC</t>
  </si>
  <si>
    <t xml:space="preserve">1L outlet</t>
  </si>
  <si>
    <t xml:space="preserve">1L grocery</t>
  </si>
  <si>
    <t xml:space="preserve">TRIAL VS BULK — DTC 12-PACK PER UNIT</t>
  </si>
  <si>
    <t xml:space="preserve">Basis</t>
  </si>
  <si>
    <t xml:space="preserve">Trial container (8.50)</t>
  </si>
  <si>
    <t xml:space="preserve">Bulk contract (7.00)</t>
  </si>
  <si>
    <t xml:space="preserve">DTC UNIT-ECONOMICS WATERFALL (NOK)</t>
  </si>
  <si>
    <t xml:space="preserve">Net price</t>
  </si>
  <si>
    <t xml:space="preserve">Payment</t>
  </si>
  <si>
    <t xml:space="preserve">CAC vs contribution: subscriber CAC 250 NOK ÷ 12.03 contribution/unit = recovered in ~21 units (&lt; 2 subscription months). CAC is comfortably below cumulative contribution from month 2 — the engine that funds the brand.</t>
  </si>
  <si>
    <t xml:space="preserve">10 · Subscriber cohorts</t>
  </si>
  <si>
    <t xml:space="preserve">Subscriber cohorts</t>
  </si>
  <si>
    <t xml:space="preserve">Monthly cohort retention at 6% churn — live formulas</t>
  </si>
  <si>
    <t xml:space="preserve">CHURN</t>
  </si>
  <si>
    <t xml:space="preserve">6%/mo</t>
  </si>
  <si>
    <t xml:space="preserve">12-MO RETENTION</t>
  </si>
  <si>
    <t xml:space="preserve">~48%</t>
  </si>
  <si>
    <t xml:space="preserve">LTV</t>
  </si>
  <si>
    <t xml:space="preserve">~2,400 NOK</t>
  </si>
  <si>
    <t xml:space="preserve">LTV/CAC</t>
  </si>
  <si>
    <t xml:space="preserve">~9.6x</t>
  </si>
  <si>
    <t xml:space="preserve">Cohort / age</t>
  </si>
  <si>
    <t xml:space="preserve">+0 mo</t>
  </si>
  <si>
    <t xml:space="preserve">+1 mo</t>
  </si>
  <si>
    <t xml:space="preserve">+2 mo</t>
  </si>
  <si>
    <t xml:space="preserve">+4 mo</t>
  </si>
  <si>
    <t xml:space="preserve">+5 mo</t>
  </si>
  <si>
    <t xml:space="preserve">+6 mo</t>
  </si>
  <si>
    <t xml:space="preserve">+7 mo</t>
  </si>
  <si>
    <t xml:space="preserve">+8 mo</t>
  </si>
  <si>
    <t xml:space="preserve">+9 mo</t>
  </si>
  <si>
    <t xml:space="preserve">+10 mo</t>
  </si>
  <si>
    <t xml:space="preserve">+11 mo</t>
  </si>
  <si>
    <t xml:space="preserve">M4 joiners</t>
  </si>
  <si>
    <t xml:space="preserve">M6 joiners</t>
  </si>
  <si>
    <t xml:space="preserve">M9 joiners</t>
  </si>
  <si>
    <t xml:space="preserve">M12 joiners</t>
  </si>
  <si>
    <t xml:space="preserve">At 6%/month churn a cohort retains ~48% after 12 months; subscriber LTV ≈ contribution 12.03 × 12 units × ~16.7 avg months = ~2,400 NOK vs CAC 250.</t>
  </si>
  <si>
    <t xml:space="preserve">11 · Channel rollout</t>
  </si>
  <si>
    <t xml:space="preserve">Channel rollout</t>
  </si>
  <si>
    <t xml:space="preserve">Subscribers, outlets and grocery stores by month — engine outputs</t>
  </si>
  <si>
    <t xml:space="preserve">SUBS M36</t>
  </si>
  <si>
    <t xml:space="preserve">6,273</t>
  </si>
  <si>
    <t xml:space="preserve">180</t>
  </si>
  <si>
    <t xml:space="preserve">STORES M36</t>
  </si>
  <si>
    <t xml:space="preserve">120</t>
  </si>
  <si>
    <t xml:space="preserve">GATE</t>
  </si>
  <si>
    <t xml:space="preserve">≥4 u/store/wk</t>
  </si>
  <si>
    <t xml:space="preserve">Month</t>
  </si>
  <si>
    <t xml:space="preserve">Subscribers</t>
  </si>
  <si>
    <t xml:space="preserve">Outlets</t>
  </si>
  <si>
    <t xml:space="preserve">Stores</t>
  </si>
  <si>
    <t xml:space="preserve">12 · Sales volume</t>
  </si>
  <si>
    <t xml:space="preserve">Sales volume</t>
  </si>
  <si>
    <t xml:space="preserve">Monthly units by format — engine outputs with formula totals</t>
  </si>
  <si>
    <t xml:space="preserve">UNITS Y1</t>
  </si>
  <si>
    <t xml:space="preserve">~253k</t>
  </si>
  <si>
    <t xml:space="preserve">UNITS Y3</t>
  </si>
  <si>
    <t xml:space="preserve">~1.6m</t>
  </si>
  <si>
    <t xml:space="preserve">1L ATTACH</t>
  </si>
  <si>
    <t xml:space="preserve">12%</t>
  </si>
  <si>
    <t xml:space="preserve">PEAK MONTH</t>
  </si>
  <si>
    <t xml:space="preserve">Units 330 ml</t>
  </si>
  <si>
    <t xml:space="preserve">Units 1 L</t>
  </si>
  <si>
    <t xml:space="preserve">Total units</t>
  </si>
  <si>
    <t xml:space="preserve">FY2027 (Y1)</t>
  </si>
  <si>
    <t xml:space="preserve">FY2028 (Y2)</t>
  </si>
  <si>
    <t xml:space="preserve">FY2029 (Y3)</t>
  </si>
  <si>
    <t xml:space="preserve">13 · Revenue build</t>
  </si>
  <si>
    <t xml:space="preserve">Revenue build</t>
  </si>
  <si>
    <t xml:space="preserve">Driver-built monthly revenue (NOK) — volumes × channel economics, engine output</t>
  </si>
  <si>
    <t xml:space="preserve">2.1 NOKm</t>
  </si>
  <si>
    <t xml:space="preserve">32.0 NOKm</t>
  </si>
  <si>
    <t xml:space="preserve">CAGR</t>
  </si>
  <si>
    <t xml:space="preserve">~290%</t>
  </si>
  <si>
    <t xml:space="preserve">MIX M36</t>
  </si>
  <si>
    <t xml:space="preserve">see dashboard</t>
  </si>
  <si>
    <t xml:space="preserve">Net revenue</t>
  </si>
  <si>
    <t xml:space="preserve">ANNUAL PRICE–VOLUME–MIX BRIDGE (REVENUE GROWTH, NOKM)</t>
  </si>
  <si>
    <t xml:space="preserve">Driver</t>
  </si>
  <si>
    <t xml:space="preserve">Y1→Y2</t>
  </si>
  <si>
    <t xml:space="preserve">Y2→Y3</t>
  </si>
  <si>
    <t xml:space="preserve">Volume (units growth at constant mix)</t>
  </si>
  <si>
    <t xml:space="preserve">Mix (1 L attach + channel shift to grocery)</t>
  </si>
  <si>
    <t xml:space="preserve">Price (bulk COGS passthrough held, prices flat)</t>
  </si>
  <si>
    <t xml:space="preserve">Total revenue growth</t>
  </si>
  <si>
    <t xml:space="preserve">Bridge decomposition is a management estimate consistent with the engine totals (9.5 and 20.4 NOKm growth).</t>
  </si>
  <si>
    <t xml:space="preserve">14 · Cost of goods</t>
  </si>
  <si>
    <t xml:space="preserve">Cost of goods</t>
  </si>
  <si>
    <t xml:space="preserve">Landed cost build-up per unit (indicative)</t>
  </si>
  <si>
    <t xml:space="preserve">330 TRIAL</t>
  </si>
  <si>
    <t xml:space="preserve">8.50</t>
  </si>
  <si>
    <t xml:space="preserve">330 BULK</t>
  </si>
  <si>
    <t xml:space="preserve">7.00</t>
  </si>
  <si>
    <t xml:space="preserve">1L BULK</t>
  </si>
  <si>
    <t xml:space="preserve">14.20</t>
  </si>
  <si>
    <t xml:space="preserve">BULK SAVING</t>
  </si>
  <si>
    <t xml:space="preserve">−18%</t>
  </si>
  <si>
    <t xml:space="preserve">Component (NOK/unit)</t>
  </si>
  <si>
    <t xml:space="preserve">330 ml</t>
  </si>
  <si>
    <t xml:space="preserve">1 L</t>
  </si>
  <si>
    <t xml:space="preserve">FOB product cost</t>
  </si>
  <si>
    <t xml:space="preserve">Co-packer indication (pre-RFQ)</t>
  </si>
  <si>
    <t xml:space="preserve">Sea freight allocation</t>
  </si>
  <si>
    <t xml:space="preserve">55 kNOK/container ÷ capacity</t>
  </si>
  <si>
    <t xml:space="preserve">Customs &amp; clearing</t>
  </si>
  <si>
    <t xml:space="preserve">Inbound to 3PL</t>
  </si>
  <si>
    <t xml:space="preserve">3PL indication</t>
  </si>
  <si>
    <t xml:space="preserve">Landed cost — trial</t>
  </si>
  <si>
    <t xml:space="preserve">Ties to 8.50 / 16.50 trial COGS</t>
  </si>
  <si>
    <t xml:space="preserve">Landed cost — bulk (contract volume)</t>
  </si>
  <si>
    <t xml:space="preserve">Volume pricing indication</t>
  </si>
  <si>
    <t xml:space="preserve">15 · Freight, customs &amp; 3PL</t>
  </si>
  <si>
    <t xml:space="preserve">Freight, customs &amp; 3PL</t>
  </si>
  <si>
    <t xml:space="preserve">Logistics chain and rates (preliminary indications)</t>
  </si>
  <si>
    <t xml:space="preserve">FREIGHT/20FT</t>
  </si>
  <si>
    <t xml:space="preserve">55 kNOK</t>
  </si>
  <si>
    <t xml:space="preserve">TRANSIT</t>
  </si>
  <si>
    <t xml:space="preserve">6–8 wks</t>
  </si>
  <si>
    <t xml:space="preserve">DTC FULFIL</t>
  </si>
  <si>
    <t xml:space="preserve">4.00/unit</t>
  </si>
  <si>
    <t xml:space="preserve">STATUS</t>
  </si>
  <si>
    <t xml:space="preserve">indicative</t>
  </si>
  <si>
    <t xml:space="preserve">Step</t>
  </si>
  <si>
    <t xml:space="preserve">Rate / time</t>
  </si>
  <si>
    <t xml:space="preserve">Note</t>
  </si>
  <si>
    <t xml:space="preserve">Deposit at order</t>
  </si>
  <si>
    <t xml:space="preserve">30%</t>
  </si>
  <si>
    <t xml:space="preserve">Balance at shipment</t>
  </si>
  <si>
    <t xml:space="preserve">Production</t>
  </si>
  <si>
    <t xml:space="preserve">3–4 weeks</t>
  </si>
  <si>
    <t xml:space="preserve">Sea freight Asia→Oslo</t>
  </si>
  <si>
    <t xml:space="preserve">6–8 weeks · 55 kNOK/20ft</t>
  </si>
  <si>
    <t xml:space="preserve">Forwarder indication; volatile</t>
  </si>
  <si>
    <t xml:space="preserve">1 week · 8 kNOK/container</t>
  </si>
  <si>
    <t xml:space="preserve">Import VAT deferred via VAT return</t>
  </si>
  <si>
    <t xml:space="preserve">3PL receiving</t>
  </si>
  <si>
    <t xml:space="preserve">3–5 days</t>
  </si>
  <si>
    <t xml:space="preserve">Oslo 3PL</t>
  </si>
  <si>
    <t xml:space="preserve">3PL storage</t>
  </si>
  <si>
    <t xml:space="preserve">12 kNOK/month base</t>
  </si>
  <si>
    <t xml:space="preserve">Scales with pallet count</t>
  </si>
  <si>
    <t xml:space="preserve">DTC pick/pack/ship</t>
  </si>
  <si>
    <t xml:space="preserve">4.00 NOK/unit 330 ml</t>
  </si>
  <si>
    <t xml:space="preserve">Quotation range</t>
  </si>
  <si>
    <t xml:space="preserve">16 · Inventory &amp; purchasing</t>
  </si>
  <si>
    <t xml:space="preserve">Inventory &amp; purchasing</t>
  </si>
  <si>
    <t xml:space="preserve">Every container order, the timeline, and reserve adequacy per scenario</t>
  </si>
  <si>
    <t xml:space="preserve">NEXT ORDER</t>
  </si>
  <si>
    <t xml:space="preserve">CASH COMMITTED</t>
  </si>
  <si>
    <t xml:space="preserve">1,062 kNOK</t>
  </si>
  <si>
    <t xml:space="preserve">RESERVE</t>
  </si>
  <si>
    <t xml:space="preserve">900k · covered</t>
  </si>
  <si>
    <t xml:space="preserve">SAFETY STOCK</t>
  </si>
  <si>
    <t xml:space="preserve">6 wks</t>
  </si>
  <si>
    <t xml:space="preserve">Order</t>
  </si>
  <si>
    <t xml:space="preserve">Cash (NOK)</t>
  </si>
  <si>
    <t xml:space="preserve">Cumulative</t>
  </si>
  <si>
    <t xml:space="preserve">Contents</t>
  </si>
  <si>
    <t xml:space="preserve">Timeline</t>
  </si>
  <si>
    <t xml:space="preserve">20ft: 20,000×330ml + 4,000×1L</t>
  </si>
  <si>
    <t xml:space="preserve">order M1 → deposit M1 → balance M1 → arrival ~M3</t>
  </si>
  <si>
    <t xml:space="preserve">order M7 → deposit M7 → balance M7 → arrival ~M9</t>
  </si>
  <si>
    <t xml:space="preserve">order M9 → deposit M9 → balance M9 → arrival ~M11</t>
  </si>
  <si>
    <t xml:space="preserve">order M11 → deposit M11 → balance M11 → arrival ~M13</t>
  </si>
  <si>
    <t xml:space="preserve">order M13 → deposit M13 → balance M13 → arrival ~M15</t>
  </si>
  <si>
    <t xml:space="preserve">order M15 → deposit M15 → balance M15 → arrival ~M17</t>
  </si>
  <si>
    <t xml:space="preserve">order M17 → deposit M17 → balance M17 → arrival ~M19</t>
  </si>
  <si>
    <t xml:space="preserve">order M19 → deposit M19 → balance M19 → arrival ~M21</t>
  </si>
  <si>
    <t xml:space="preserve">order M21 → deposit M21 → balance M21 → arrival ~M23</t>
  </si>
  <si>
    <t xml:space="preserve">order M23 → deposit M23 → balance M23 → arrival ~M25</t>
  </si>
  <si>
    <t xml:space="preserve">order M25 → deposit M25 → balance M25 → arrival ~M27</t>
  </si>
  <si>
    <t xml:space="preserve">order M27 → deposit M27 → balance M27 → arrival ~M29</t>
  </si>
  <si>
    <t xml:space="preserve">order M29 → deposit M29 → balance M29 → arrival ~M31</t>
  </si>
  <si>
    <t xml:space="preserve">order M31 → deposit M31 → balance M31 → arrival ~M33</t>
  </si>
  <si>
    <t xml:space="preserve">order M33 → deposit M33 → balance M33 → arrival ~M35</t>
  </si>
  <si>
    <t xml:space="preserve">order M35 → deposit M35 → balance M35 → arrival ~M37</t>
  </si>
  <si>
    <t xml:space="preserve">TOTAL</t>
  </si>
  <si>
    <t xml:space="preserve">CONTAINER TIMELINE (DARK = ORDER MONTH, LIGHT = IN TRANSIT)</t>
  </si>
  <si>
    <t xml:space="preserve">PO</t>
  </si>
  <si>
    <t xml:space="preserve">RESERVE ADEQUACY — CONTAINERS 2–4 VS NOK 900,000 RESERVE</t>
  </si>
  <si>
    <t xml:space="preserve">Containers 2–4 cash</t>
  </si>
  <si>
    <t xml:space="preserve">vs reserve</t>
  </si>
  <si>
    <t xml:space="preserve">COVERED</t>
  </si>
  <si>
    <t xml:space="preserve">Scaled by scenario Y1 volume ratio — scenario assumption</t>
  </si>
  <si>
    <t xml:space="preserve">Engine orders</t>
  </si>
  <si>
    <t xml:space="preserve">Safety stock target 6 weeks forward demand · damage/expiry 1% of net revenue (in unit economics) · AR/AP: see 17_Working_Capital.</t>
  </si>
  <si>
    <t xml:space="preserve">17 · Working capital</t>
  </si>
  <si>
    <t xml:space="preserve">Working capital</t>
  </si>
  <si>
    <t xml:space="preserve">Cash-conversion structure — the container is the working-capital unit</t>
  </si>
  <si>
    <t xml:space="preserve">DSO</t>
  </si>
  <si>
    <t xml:space="preserve">0 days</t>
  </si>
  <si>
    <t xml:space="preserve">DPO</t>
  </si>
  <si>
    <t xml:space="preserve">~0 days</t>
  </si>
  <si>
    <t xml:space="preserve">MIN CASH</t>
  </si>
  <si>
    <t xml:space="preserve">197 kNOK</t>
  </si>
  <si>
    <t xml:space="preserve">900k</t>
  </si>
  <si>
    <t xml:space="preserve">Measure</t>
  </si>
  <si>
    <t xml:space="preserve">Value (base)</t>
  </si>
  <si>
    <t xml:space="preserve">Receivable days (DSO)</t>
  </si>
  <si>
    <t xml:space="preserve">Month-of-sale settlement; DTC prepaid — disclosed simplification</t>
  </si>
  <si>
    <t xml:space="preserve">Payable days (DPO)</t>
  </si>
  <si>
    <t xml:space="preserve">Prepayment model; no supplier credit assumed (conservative)</t>
  </si>
  <si>
    <t xml:space="preserve">Inventory position</t>
  </si>
  <si>
    <t xml:space="preserve">Prepaid containers</t>
  </si>
  <si>
    <t xml:space="preserve">Held as prepaid/goods-in-transit asset until arrival</t>
  </si>
  <si>
    <t xml:space="preserve">VAT timing</t>
  </si>
  <si>
    <t xml:space="preserve">Bimonthly settlement</t>
  </si>
  <si>
    <t xml:space="preserve">Input VAT recoverable; import VAT deferred</t>
  </si>
  <si>
    <t xml:space="preserve">Cash-conversion cycle</t>
  </si>
  <si>
    <t xml:space="preserve">Negative for DTC</t>
  </si>
  <si>
    <t xml:space="preserve">Customer cash precedes replacement inventory</t>
  </si>
  <si>
    <t xml:space="preserve">Minimum cash balance</t>
  </si>
  <si>
    <t xml:space="preserve">NOK 196,943 (M13)</t>
  </si>
  <si>
    <t xml:space="preserve">Monthly closing-cash line, sheet 24</t>
  </si>
  <si>
    <t xml:space="preserve">Peak working-capital requirement</t>
  </si>
  <si>
    <t xml:space="preserve">NOK 900,000 reserve</t>
  </si>
  <si>
    <t xml:space="preserve">Dedicated to containers 2–4; proven on sheet 16</t>
  </si>
  <si>
    <t xml:space="preserve">Additional downside funding</t>
  </si>
  <si>
    <t xml:space="preserve">+NOK 645,000</t>
  </si>
  <si>
    <t xml:space="preserve">Sheet 27 — disclosed</t>
  </si>
  <si>
    <t xml:space="preserve">18 · Headcount plan</t>
  </si>
  <si>
    <t xml:space="preserve">Headcount plan</t>
  </si>
  <si>
    <t xml:space="preserve">Lean by design — roles, timing, monthly cost (NOK)</t>
  </si>
  <si>
    <t xml:space="preserve">ROLES Y1</t>
  </si>
  <si>
    <t xml:space="preserve">5</t>
  </si>
  <si>
    <t xml:space="preserve">FOUNDER</t>
  </si>
  <si>
    <t xml:space="preserve">45 kNOK/mo</t>
  </si>
  <si>
    <t xml:space="preserve">FIRST HIRE</t>
  </si>
  <si>
    <t xml:space="preserve">COST M12</t>
  </si>
  <si>
    <t xml:space="preserve">~198 kNOK/mo</t>
  </si>
  <si>
    <t xml:space="preserve">Role</t>
  </si>
  <si>
    <t xml:space="preserve">Start</t>
  </si>
  <si>
    <t xml:space="preserve">Monthly cost</t>
  </si>
  <si>
    <t xml:space="preserve">Founder / daglig leder</t>
  </si>
  <si>
    <t xml:space="preserve">Below market at launch; blue = input</t>
  </si>
  <si>
    <t xml:space="preserve">Commercial lead</t>
  </si>
  <si>
    <t xml:space="preserve">Funded in round</t>
  </si>
  <si>
    <t xml:space="preserve">Operations &amp; customer care</t>
  </si>
  <si>
    <t xml:space="preserve">Performance marketing (contract)</t>
  </si>
  <si>
    <t xml:space="preserve">Within marketing envelope</t>
  </si>
  <si>
    <t xml:space="preserve">Field sales (part-time)</t>
  </si>
  <si>
    <t xml:space="preserve">Outlet channel build</t>
  </si>
  <si>
    <t xml:space="preserve">19 · Marketing &amp; CAC</t>
  </si>
  <si>
    <t xml:space="preserve">Marketing &amp; CAC</t>
  </si>
  <si>
    <t xml:space="preserve">Acquisition economics by channel</t>
  </si>
  <si>
    <t xml:space="preserve">CAC SUB</t>
  </si>
  <si>
    <t xml:space="preserve">250 NOK</t>
  </si>
  <si>
    <t xml:space="preserve">CAC PAYBACK</t>
  </si>
  <si>
    <t xml:space="preserve">&lt;2 mo</t>
  </si>
  <si>
    <t xml:space="preserve">ENVELOPE</t>
  </si>
  <si>
    <t xml:space="preserve">55 kNOK/mo</t>
  </si>
  <si>
    <t xml:space="preserve">CAC — subscriber</t>
  </si>
  <si>
    <t xml:space="preserve">Channel benchmarks; scenario lever</t>
  </si>
  <si>
    <t xml:space="preserve">CAC — one-off customer</t>
  </si>
  <si>
    <t xml:space="preserve">Subscriber LTV (contribution)</t>
  </si>
  <si>
    <t xml:space="preserve">~2,400</t>
  </si>
  <si>
    <t xml:space="preserve">12.03 × 12 units × ~16.7 avg months at 6% churn</t>
  </si>
  <si>
    <t xml:space="preserve">LTV / CAC</t>
  </si>
  <si>
    <t xml:space="preserve">x</t>
  </si>
  <si>
    <t xml:space="preserve">Comfortably above 3x threshold</t>
  </si>
  <si>
    <t xml:space="preserve">Payback on CAC</t>
  </si>
  <si>
    <t xml:space="preserve">&lt; 2 months</t>
  </si>
  <si>
    <t xml:space="preserve">months</t>
  </si>
  <si>
    <t xml:space="preserve">~21 units of contribution</t>
  </si>
  <si>
    <t xml:space="preserve">Launch marketing envelope</t>
  </si>
  <si>
    <t xml:space="preserve">NOK/month</t>
  </si>
  <si>
    <t xml:space="preserve">Semi-variable; scales with acquisition</t>
  </si>
  <si>
    <t xml:space="preserve">20 · Operating expenses</t>
  </si>
  <si>
    <t xml:space="preserve">Operating expenses</t>
  </si>
  <si>
    <t xml:space="preserve">Itemised monthly launch envelope — fixed / semi-variable / variable</t>
  </si>
  <si>
    <t xml:space="preserve">180 kNOK/mo</t>
  </si>
  <si>
    <t xml:space="preserve">FIXED SHARE</t>
  </si>
  <si>
    <t xml:space="preserve">~64%</t>
  </si>
  <si>
    <t xml:space="preserve">VARIABLE</t>
  </si>
  <si>
    <t xml:space="preserve">~11%</t>
  </si>
  <si>
    <t xml:space="preserve">ONE-TIME</t>
  </si>
  <si>
    <t xml:space="preserve">see 21</t>
  </si>
  <si>
    <t xml:space="preserve">Line (monthly, M4–M12)</t>
  </si>
  <si>
    <t xml:space="preserve">Class</t>
  </si>
  <si>
    <t xml:space="preserve">Basis / status</t>
  </si>
  <si>
    <t xml:space="preserve">Founder salary</t>
  </si>
  <si>
    <t xml:space="preserve">Fixed</t>
  </si>
  <si>
    <t xml:space="preserve">Performance marketing &amp; content</t>
  </si>
  <si>
    <t xml:space="preserve">Semi-variable</t>
  </si>
  <si>
    <t xml:space="preserve">CAC-governed</t>
  </si>
  <si>
    <t xml:space="preserve">Sampling, events &amp; venue activation</t>
  </si>
  <si>
    <t xml:space="preserve">Variable</t>
  </si>
  <si>
    <t xml:space="preserve">3PL base fee &amp; storage</t>
  </si>
  <si>
    <t xml:space="preserve">Office, communications &amp; travel</t>
  </si>
  <si>
    <t xml:space="preserve">Legal &amp; food-law counsel</t>
  </si>
  <si>
    <t xml:space="preserve">Public benchmark</t>
  </si>
  <si>
    <t xml:space="preserve">Software, e-commerce &amp; payment fixed</t>
  </si>
  <si>
    <t xml:space="preserve">Public rate cards</t>
  </si>
  <si>
    <t xml:space="preserve">Accounting &amp; payroll</t>
  </si>
  <si>
    <t xml:space="preserve">POS &amp; branded fridges (amortised cash)</t>
  </si>
  <si>
    <t xml:space="preserve">Laboratory analysis &amp; product testing</t>
  </si>
  <si>
    <t xml:space="preserve">Insurance (product liability + general)</t>
  </si>
  <si>
    <t xml:space="preserve">Pallet handling, waste &amp; damages</t>
  </si>
  <si>
    <t xml:space="preserve">Board, governance &amp; audit accrual</t>
  </si>
  <si>
    <t xml:space="preserve">Contingency within opex</t>
  </si>
  <si>
    <t xml:space="preserve">TOTAL monthly envelope</t>
  </si>
  <si>
    <t xml:space="preserve">The engine carries this envelope from launch, growing with headcount and channel build (statements, sheet 23). Retail listing fees and distributor commissions activate with the grocery phase and are carried inside trade allowances (sheet 08).</t>
  </si>
  <si>
    <t xml:space="preserve">21 · CAPEX &amp; launch expenditure</t>
  </si>
  <si>
    <t xml:space="preserve">CAPEX &amp; launch expenditure</t>
  </si>
  <si>
    <t xml:space="preserve">Asset-light operating model with limited fixed-asset CAPEX; launch expenditure, tooling and working-capital requirements are separately modelled</t>
  </si>
  <si>
    <t xml:space="preserve">FIXED-ASSET</t>
  </si>
  <si>
    <t xml:space="preserve">– (none)</t>
  </si>
  <si>
    <t xml:space="preserve">ONE-TIME LAUNCH</t>
  </si>
  <si>
    <t xml:space="preserve">225 kNOK</t>
  </si>
  <si>
    <t xml:space="preserve">INITIAL WC</t>
  </si>
  <si>
    <t xml:space="preserve">1,095 kNOK</t>
  </si>
  <si>
    <t xml:space="preserve">2,000 kNOK</t>
  </si>
  <si>
    <t xml:space="preserve">Item</t>
  </si>
  <si>
    <t xml:space="preserve">Accounting treatment</t>
  </si>
  <si>
    <t xml:space="preserve">Cash-flow class</t>
  </si>
  <si>
    <t xml:space="preserve">A · Fixed-asset CAPEX — none owned (fridges leased/expensed)</t>
  </si>
  <si>
    <t xml:space="preserve">n/a</t>
  </si>
  <si>
    <t xml:space="preserve">Investing</t>
  </si>
  <si>
    <t xml:space="preserve">B · Capitalised tooling/development — none (prudence)</t>
  </si>
  <si>
    <t xml:space="preserve">Expensed as incurred</t>
  </si>
  <si>
    <t xml:space="preserve">Operating</t>
  </si>
  <si>
    <t xml:space="preserve">C1 · Company formation &amp; IP</t>
  </si>
  <si>
    <t xml:space="preserve">M0</t>
  </si>
  <si>
    <t xml:space="preserve">Expensed</t>
  </si>
  <si>
    <t xml:space="preserve">One-time launch</t>
  </si>
  <si>
    <t xml:space="preserve">Public fee schedule</t>
  </si>
  <si>
    <t xml:space="preserve">C2 · Legal &amp; regulatory review</t>
  </si>
  <si>
    <t xml:space="preserve">M0–2</t>
  </si>
  <si>
    <t xml:space="preserve">C3 · Packaging design &amp; print tooling</t>
  </si>
  <si>
    <t xml:space="preserve">M1–3</t>
  </si>
  <si>
    <t xml:space="preserve">Expensed (prudence)</t>
  </si>
  <si>
    <t xml:space="preserve">C4 · E-commerce build &amp; 3PL setup/deposits</t>
  </si>
  <si>
    <t xml:space="preserve">Expensed / deposit asset</t>
  </si>
  <si>
    <t xml:space="preserve">D1 · Initial inventory (FOB, container 1)</t>
  </si>
  <si>
    <t xml:space="preserve">Inventory asset → COGS</t>
  </si>
  <si>
    <t xml:space="preserve">D2 · Freight, customs &amp; clearing (container 1)</t>
  </si>
  <si>
    <t xml:space="preserve">Inventory cost</t>
  </si>
  <si>
    <t xml:space="preserve">D3 · Working-capital reserve (containers 2–4)</t>
  </si>
  <si>
    <t xml:space="preserve">M6–18</t>
  </si>
  <si>
    <t xml:space="preserve">Inventory prepayments</t>
  </si>
  <si>
    <t xml:space="preserve">E1 · Launch marketing &amp; trade activation</t>
  </si>
  <si>
    <t xml:space="preserve">M3–9</t>
  </si>
  <si>
    <t xml:space="preserve">Recurring opex</t>
  </si>
  <si>
    <t xml:space="preserve">E2 · Personnel (first 6 months)</t>
  </si>
  <si>
    <t xml:space="preserve">M1–6</t>
  </si>
  <si>
    <t xml:space="preserve">Contingency (unallocated, 14%)</t>
  </si>
  <si>
    <t xml:space="preserve">Reserve</t>
  </si>
  <si>
    <t xml:space="preserve">TOTAL = use of funds</t>
  </si>
  <si>
    <t xml:space="preserve">22 · Funding &amp; use of funds</t>
  </si>
  <si>
    <t xml:space="preserve">Funding &amp; use of funds</t>
  </si>
  <si>
    <t xml:space="preserve">Sources equal uses — live check on 32_Model_Checks</t>
  </si>
  <si>
    <t xml:space="preserve">Use of funds</t>
  </si>
  <si>
    <t xml:space="preserve">Company formation &amp; IP</t>
  </si>
  <si>
    <t xml:space="preserve">Legal &amp; regulatory</t>
  </si>
  <si>
    <t xml:space="preserve">Packaging design &amp; print tooling</t>
  </si>
  <si>
    <t xml:space="preserve">Initial inventory (FOB)</t>
  </si>
  <si>
    <t xml:space="preserve">Freight, customs &amp; clearing</t>
  </si>
  <si>
    <t xml:space="preserve">3PL setup &amp; deposits</t>
  </si>
  <si>
    <t xml:space="preserve">E-commerce infrastructure</t>
  </si>
  <si>
    <t xml:space="preserve">Launch marketing</t>
  </si>
  <si>
    <t xml:space="preserve">Trade activation &amp; sampling</t>
  </si>
  <si>
    <t xml:space="preserve">Personnel (first 6 months)</t>
  </si>
  <si>
    <t xml:space="preserve">Working-capital reserve (containers 2-4)</t>
  </si>
  <si>
    <t xml:space="preserve">Inventory scale-up as channels open</t>
  </si>
  <si>
    <t xml:space="preserve">Contingency</t>
  </si>
  <si>
    <t xml:space="preserve">14% unallocated buffer</t>
  </si>
  <si>
    <t xml:space="preserve">Fixed-asset capex</t>
  </si>
  <si>
    <t xml:space="preserve">Asset-light: none owned</t>
  </si>
  <si>
    <t xml:space="preserve">TOTAL USES</t>
  </si>
  <si>
    <t xml:space="preserve">SOURCES — seed round (management proposal)</t>
  </si>
  <si>
    <t xml:space="preserve">Instrument / valuation TBD with lead investor. No debt assumed.</t>
  </si>
  <si>
    <t xml:space="preserve">23 · Profit &amp; loss</t>
  </si>
  <si>
    <t xml:space="preserve">Profit &amp; loss</t>
  </si>
  <si>
    <t xml:space="preserve">Monthly M1–M36 with FY summaries — links from operating schedules</t>
  </si>
  <si>
    <t xml:space="preserve">Revenue</t>
  </si>
  <si>
    <t xml:space="preserve">Opex</t>
  </si>
  <si>
    <t xml:space="preserve">EBITDA</t>
  </si>
  <si>
    <t xml:space="preserve">Tax</t>
  </si>
  <si>
    <t xml:space="preserve">Net income</t>
  </si>
  <si>
    <t xml:space="preserve">EBITDA margin FY2029</t>
  </si>
  <si>
    <t xml:space="preserve">Tax losses carry forward until cumulative profit; 22% thereafter (engine).</t>
  </si>
  <si>
    <t xml:space="preserve">24 · Cash flow</t>
  </si>
  <si>
    <t xml:space="preserve">Cash flow</t>
  </si>
  <si>
    <t xml:space="preserve">Monthly closing cash; funding M1; container prepayments as investing WC</t>
  </si>
  <si>
    <t xml:space="preserve">FUNDING M1</t>
  </si>
  <si>
    <t xml:space="preserve">2.0 NOKm</t>
  </si>
  <si>
    <t xml:space="preserve">LOW POINT</t>
  </si>
  <si>
    <t xml:space="preserve">197 kNOK (M13)</t>
  </si>
  <si>
    <t xml:space="preserve">M36 CASH</t>
  </si>
  <si>
    <t xml:space="preserve">9.75 NOKm</t>
  </si>
  <si>
    <t xml:space="preserve">PAYBACK</t>
  </si>
  <si>
    <t xml:space="preserve">EBITDA − tax</t>
  </si>
  <si>
    <t xml:space="preserve">Container orders</t>
  </si>
  <si>
    <t xml:space="preserve">Cash movement</t>
  </si>
  <si>
    <t xml:space="preserve">Closing cash</t>
  </si>
  <si>
    <t xml:space="preserve">Minimum cash</t>
  </si>
  <si>
    <t xml:space="preserve">Funding received M1: NOK 2,000,000 (in month-1 movement). Closing cash ties to the engine and the balance sheet.</t>
  </si>
  <si>
    <t xml:space="preserve">25 · Balance sheet</t>
  </si>
  <si>
    <t xml:space="preserve">Balance sheet</t>
  </si>
  <si>
    <t xml:space="preserve">Annual FY2027–FY2029 — balances every period; live check on 32</t>
  </si>
  <si>
    <t xml:space="preserve">ASSETS</t>
  </si>
  <si>
    <t xml:space="preserve">Cash and equivalents</t>
  </si>
  <si>
    <t xml:space="preserve">Prepaid inventory &amp; goods in transit</t>
  </si>
  <si>
    <t xml:space="preserve">Accounts receivable (0 — disclosed)</t>
  </si>
  <si>
    <t xml:space="preserve">Fixed assets (none)</t>
  </si>
  <si>
    <t xml:space="preserve">TOTAL ASSETS</t>
  </si>
  <si>
    <t xml:space="preserve">EQUITY &amp; LIABILITIES</t>
  </si>
  <si>
    <t xml:space="preserve">Share capital / seed funding</t>
  </si>
  <si>
    <t xml:space="preserve">Retained earnings (cum. net income)</t>
  </si>
  <si>
    <t xml:space="preserve">Liabilities (none modelled)</t>
  </si>
  <si>
    <t xml:space="preserve">TOTAL EQUITY &amp; LIABILITIES</t>
  </si>
  <si>
    <t xml:space="preserve">Balance check (assets − equity−liabilities)</t>
  </si>
  <si>
    <t xml:space="preserve">Identity: cash = funding + cum(EBITDA − tax − container prepayments); balances to within kr rounding. AR at zero is a disclosed simplification (01_Read_Me).</t>
  </si>
  <si>
    <t xml:space="preserve">26 · Break-even &amp; payback</t>
  </si>
  <si>
    <t xml:space="preserve">Break-even &amp; payback</t>
  </si>
  <si>
    <t xml:space="preserve">Seven definitions, never conflated — with visual timeline</t>
  </si>
  <si>
    <t xml:space="preserve">Result (base)</t>
  </si>
  <si>
    <t xml:space="preserve">Definition</t>
  </si>
  <si>
    <t xml:space="preserve">Gross-margin break-even</t>
  </si>
  <si>
    <t xml:space="preserve">Unit 1</t>
  </si>
  <si>
    <t xml:space="preserve">Net 25.29 &gt; COGS 8.50 on every DTC unit</t>
  </si>
  <si>
    <t xml:space="preserve">Contribution break-even</t>
  </si>
  <si>
    <t xml:space="preserve">~1,250 sub-eq.</t>
  </si>
  <si>
    <t xml:space="preserve">Opex 180k ÷ 12.03 ÷ 12 units</t>
  </si>
  <si>
    <t xml:space="preserve">Monthly EBITDA break-even</t>
  </si>
  <si>
    <t xml:space="preserve">First month positive EBITDA — management estimate</t>
  </si>
  <si>
    <t xml:space="preserve">Sustained EBITDA-positive</t>
  </si>
  <si>
    <t xml:space="preserve">M11 onwards</t>
  </si>
  <si>
    <t xml:space="preserve">No negative month after M10</t>
  </si>
  <si>
    <t xml:space="preserve">Cumulative EBITDA break-even</t>
  </si>
  <si>
    <t xml:space="preserve">Cumulative EBITDA turns positive</t>
  </si>
  <si>
    <t xml:space="preserve">Operating-cash break-even</t>
  </si>
  <si>
    <t xml:space="preserve">Closing cash rises without new funding</t>
  </si>
  <si>
    <t xml:space="preserve">Capital payback (cum FCF = NOK 2.0m)</t>
  </si>
  <si>
    <t xml:space="preserve">Recovery of invested capital</t>
  </si>
  <si>
    <t xml:space="preserve">Investor payback</t>
  </si>
  <si>
    <t xml:space="preserve">Conditional on final terms — sheet 31</t>
  </si>
  <si>
    <t xml:space="preserve">TIMELINE M1–M36 — EACH BREAK-EVEN DEFINITION</t>
  </si>
  <si>
    <t xml:space="preserve">Op-cash</t>
  </si>
  <si>
    <t xml:space="preserve">Cum-EBITDA</t>
  </si>
  <si>
    <t xml:space="preserve">Payback</t>
  </si>
  <si>
    <t xml:space="preserve">27 · Scenarios</t>
  </si>
  <si>
    <t xml:space="preserve">Scenarios</t>
  </si>
  <si>
    <t xml:space="preserve">Downside / Base / Upside — full-year outputs</t>
  </si>
  <si>
    <t xml:space="preserve">Revenue FY2029 (NOK)</t>
  </si>
  <si>
    <t xml:space="preserve">EBITDA FY2027 (NOK)</t>
  </si>
  <si>
    <t xml:space="preserve">EBITDA FY2028 (NOK)</t>
  </si>
  <si>
    <t xml:space="preserve">EBITDA FY2029 (NOK)</t>
  </si>
  <si>
    <t xml:space="preserve">Gross margin FY2029</t>
  </si>
  <si>
    <t xml:space="preserve">~66%</t>
  </si>
  <si>
    <t xml:space="preserve">68.0%</t>
  </si>
  <si>
    <t xml:space="preserve">~69%</t>
  </si>
  <si>
    <t xml:space="preserve">Lowest cash (kNOK)</t>
  </si>
  <si>
    <t xml:space="preserve">Capital payback</t>
  </si>
  <si>
    <t xml:space="preserve">~M35</t>
  </si>
  <si>
    <t xml:space="preserve">~M26</t>
  </si>
  <si>
    <t xml:space="preserve">Subscribers M36</t>
  </si>
  <si>
    <t xml:space="preserve">Outlets M36</t>
  </si>
  <si>
    <t xml:space="preserve">Stores M36</t>
  </si>
  <si>
    <t xml:space="preserve">28 · Sensitivity</t>
  </si>
  <si>
    <t xml:space="preserve">Sensitivity</t>
  </si>
  <si>
    <t xml:space="preserve">Two-way tables on FY2029 EBITDA (NOKm) — restrained heatmaps · scenario assumptions</t>
  </si>
  <si>
    <t xml:space="preserve">PRICE CHANGE VS VOLUME CHANGE</t>
  </si>
  <si>
    <t xml:space="preserve">Δ price ↓ · Δ volume →</t>
  </si>
  <si>
    <t xml:space="preserve">-20%</t>
  </si>
  <si>
    <t xml:space="preserve">-10%</t>
  </si>
  <si>
    <t xml:space="preserve">0%</t>
  </si>
  <si>
    <t xml:space="preserve">+10%</t>
  </si>
  <si>
    <t xml:space="preserve">-5%</t>
  </si>
  <si>
    <t xml:space="preserve">+5%</t>
  </si>
  <si>
    <t xml:space="preserve">BULK COGS VS SELLING PRICE</t>
  </si>
  <si>
    <t xml:space="preserve">COGS/unit ↓ · Δ price →</t>
  </si>
  <si>
    <t xml:space="preserve">6.4</t>
  </si>
  <si>
    <t xml:space="preserve">7.0</t>
  </si>
  <si>
    <t xml:space="preserve">7.7</t>
  </si>
  <si>
    <t xml:space="preserve">8.5</t>
  </si>
  <si>
    <t xml:space="preserve">EXIT MULTIPLE VS FY2029 EBITDA (EV, NOKM — ILLUSTRATIVE ONLY)</t>
  </si>
  <si>
    <t xml:space="preserve">Multiple ↓ · EBITDA NOKm →</t>
  </si>
  <si>
    <t xml:space="preserve">8.0</t>
  </si>
  <si>
    <t xml:space="preserve">11.7</t>
  </si>
  <si>
    <t xml:space="preserve">14.0</t>
  </si>
  <si>
    <t xml:space="preserve">Linear approximations around the base point; engine re-runs govern the scenario table (27). Exit table is illustrative only — terms TBD.</t>
  </si>
  <si>
    <t xml:space="preserve">29 · Company ROI &amp; ROIC</t>
  </si>
  <si>
    <t xml:space="preserve">Company ROI &amp; ROIC</t>
  </si>
  <si>
    <t xml:space="preserve">Cumulative post-tax free cash flow vs NOK 2.0m invested</t>
  </si>
  <si>
    <t xml:space="preserve">Cumulative free cash flow (NOK)</t>
  </si>
  <si>
    <t xml:space="preserve">Company operating ROI (cum FCF ÷ 2.0m)</t>
  </si>
  <si>
    <t xml:space="preserve">NOPAT (annual, NOK)</t>
  </si>
  <si>
    <t xml:space="preserve">ROIC (NOPAT ÷ avg invested 2.0m)</t>
  </si>
  <si>
    <t xml:space="preserve">FY2031 (year 5) view requires the Y4–Y5 extension — a listed enhancement. Cumulative ROI at M36: 3.9x invested capital (base, management estimate). Capital payback M30 (sheet 26).</t>
  </si>
  <si>
    <t xml:space="preserve">30 · Valuation — deliberately TBD</t>
  </si>
  <si>
    <t xml:space="preserve">Valuation — deliberately TBD</t>
  </si>
  <si>
    <t xml:space="preserve">No unsupported number is published</t>
  </si>
  <si>
    <t xml:space="preserve">Instrument</t>
  </si>
  <si>
    <t xml:space="preserve">TBD — equity or convertible, agreed with lead investor</t>
  </si>
  <si>
    <t xml:space="preserve">TBD — management publishes no unsupported number</t>
  </si>
  <si>
    <t xml:space="preserve">Reference points</t>
  </si>
  <si>
    <t xml:space="preserve">Comparable beverage seed rounds and the illustrative EV table on 28_Sensitivity (EBITDA × multiple)</t>
  </si>
  <si>
    <t xml:space="preserve">What is ready</t>
  </si>
  <si>
    <t xml:space="preserve">Reconciled 36-month model, scenario range, use of funds, downside need (+645k) disclosed</t>
  </si>
  <si>
    <t xml:space="preserve">31 · Investor returns — ILLUSTRATIVE ONLY</t>
  </si>
  <si>
    <t xml:space="preserve">Investor returns — ILLUSTRATIVE ONLY</t>
  </si>
  <si>
    <t xml:space="preserve">Illustrative management scenarios only. Not guaranteed returns.</t>
  </si>
  <si>
    <t xml:space="preserve">ILLUSTRATIVE MANAGEMENT SCENARIOS ONLY. NOT GUARANTEED RETURNS. RESULTS REQUIRE FINAL TERMS.</t>
  </si>
  <si>
    <t xml:space="preserve">Input (edit blue cells)</t>
  </si>
  <si>
    <t xml:space="preserve">Investment amount (NOK)</t>
  </si>
  <si>
    <t xml:space="preserve">Full round for illustration</t>
  </si>
  <si>
    <t xml:space="preserve">Pre-money valuation (NOK)</t>
  </si>
  <si>
    <t xml:space="preserve">REQUIRED before results are meaningful</t>
  </si>
  <si>
    <t xml:space="preserve">Future dilution to exit</t>
  </si>
  <si>
    <t xml:space="preserve">Illustrative later-round dilution</t>
  </si>
  <si>
    <t xml:space="preserve">Dividend policy</t>
  </si>
  <si>
    <t xml:space="preserve">None before exit</t>
  </si>
  <si>
    <t xml:space="preserve">Illustrative</t>
  </si>
  <si>
    <t xml:space="preserve">Exit year</t>
  </si>
  <si>
    <t xml:space="preserve">FY2031</t>
  </si>
  <si>
    <t xml:space="preserve">Exit EBITDA (NOK)</t>
  </si>
  <si>
    <t xml:space="preserve">Extend model to Y5; FY2029 base = 11.7m</t>
  </si>
  <si>
    <t xml:space="preserve">EBITDA exit multiple</t>
  </si>
  <si>
    <t xml:space="preserve">Comparable range 5–9x</t>
  </si>
  <si>
    <t xml:space="preserve">Net debt at exit (NOK)</t>
  </si>
  <si>
    <t xml:space="preserve">Asset-light assumption</t>
  </si>
  <si>
    <t xml:space="preserve">Exit transaction costs</t>
  </si>
  <si>
    <t xml:space="preserve">Computed once pre-money (C12) and exit EBITDA (C16) are numbers:</t>
  </si>
  <si>
    <t xml:space="preserve">Ownership at entry</t>
  </si>
  <si>
    <t xml:space="preserve">Ownership at exit (after dilution)</t>
  </si>
  <si>
    <t xml:space="preserve">Exit enterprise value</t>
  </si>
  <si>
    <t xml:space="preserve">Investor proceeds</t>
  </si>
  <si>
    <t xml:space="preserve">MOIC</t>
  </si>
  <si>
    <t xml:space="preserve">IRR (5-year hold)</t>
  </si>
  <si>
    <t xml:space="preserve">32 · Model checks</t>
  </si>
  <si>
    <t xml:space="preserve">Model checks</t>
  </si>
  <si>
    <t xml:space="preserve">Green PASS / red FAIL — the dashboard status aggregates these</t>
  </si>
  <si>
    <t xml:space="preserve">Check</t>
  </si>
  <si>
    <t xml:space="preserve">Result</t>
  </si>
  <si>
    <t xml:space="preserve">Logic</t>
  </si>
  <si>
    <t xml:space="preserve">Sources equal uses</t>
  </si>
  <si>
    <t xml:space="preserve">Seed kNOK = sum of uses</t>
  </si>
  <si>
    <t xml:space="preserve">Funding allocation equals raise</t>
  </si>
  <si>
    <t xml:space="preserve">Uses total = 2,000 kNOK</t>
  </si>
  <si>
    <t xml:space="preserve">CAPEX schedule equals uses</t>
  </si>
  <si>
    <t xml:space="preserve">Classified schedule reconciles</t>
  </si>
  <si>
    <t xml:space="preserve">P&amp;L: GP = revenue − COGS (FY2027)</t>
  </si>
  <si>
    <t xml:space="preserve">Statement arithmetic</t>
  </si>
  <si>
    <t xml:space="preserve">Gross margin within valid bounds</t>
  </si>
  <si>
    <t xml:space="preserve">0 &lt; GM &lt; 100%</t>
  </si>
  <si>
    <t xml:space="preserve">Cash rolls: closing M36 ties to engine</t>
  </si>
  <si>
    <t xml:space="preserve">Cash flow reconciles</t>
  </si>
  <si>
    <t xml:space="preserve">Closing cash never negative</t>
  </si>
  <si>
    <t xml:space="preserve">Liquidity floor</t>
  </si>
  <si>
    <t xml:space="preserve">Minimum cash identified correctly</t>
  </si>
  <si>
    <t xml:space="preserve">Dashboard KPI source</t>
  </si>
  <si>
    <t xml:space="preserve">Balance sheet balances (FY2029)</t>
  </si>
  <si>
    <t xml:space="preserve">Assets = equity + liabilities</t>
  </si>
  <si>
    <t xml:space="preserve">Inventory prepayments never negative</t>
  </si>
  <si>
    <t xml:space="preserve">Purchase schedule integrity</t>
  </si>
  <si>
    <t xml:space="preserve">VAT arithmetic: 349/1.15 = 303.48</t>
  </si>
  <si>
    <t xml:space="preserve">Published pricing maths</t>
  </si>
  <si>
    <t xml:space="preserve">Unit economics formula integrity</t>
  </si>
  <si>
    <t xml:space="preserve">GM% = GP/Net</t>
  </si>
  <si>
    <t xml:space="preserve">Scenario table complete</t>
  </si>
  <si>
    <t xml:space="preserve">3 scenarios × 12 measures</t>
  </si>
  <si>
    <t xml:space="preserve">Exit maths valid (multiple × EBITDA ≥ 0)</t>
  </si>
  <si>
    <t xml:space="preserve">Illustrative EV table</t>
  </si>
  <si>
    <t xml:space="preserve">No external links</t>
  </si>
  <si>
    <t xml:space="preserve">PASS</t>
  </si>
  <si>
    <t xml:space="preserve">Workbook is self-contained</t>
  </si>
  <si>
    <t xml:space="preserve">Published documents match model</t>
  </si>
  <si>
    <t xml:space="preserve">Release gate (register-driven) ran at publication</t>
  </si>
</sst>
</file>

<file path=xl/styles.xml><?xml version="1.0" encoding="utf-8"?>
<styleSheet xmlns="http://schemas.openxmlformats.org/spreadsheetml/2006/main">
  <numFmts count="8">
    <numFmt numFmtId="164" formatCode="General"/>
    <numFmt numFmtId="165" formatCode="#,##0;[RED]\(#,##0\);\–"/>
    <numFmt numFmtId="166" formatCode="0.0%;[RED]\(0.0%\);\–"/>
    <numFmt numFmtId="167" formatCode="#,##0.0;[RED]\(#,##0.0\);\–"/>
    <numFmt numFmtId="168" formatCode="#,##0.00;[RED]\(#,##0.00\);\–"/>
    <numFmt numFmtId="169" formatCode="#,##0.0;[RED]\(#,##0.0\)"/>
    <numFmt numFmtId="170" formatCode="#,##0.0"/>
    <numFmt numFmtId="171" formatCode="0.0\x"/>
  </numFmts>
  <fonts count="47">
    <font>
      <sz val="11"/>
      <color theme="1"/>
      <name val="Calibri"/>
      <family val="2"/>
      <charset val="1"/>
    </font>
    <font>
      <sz val="10"/>
      <name val="Arial"/>
      <family val="0"/>
    </font>
    <font>
      <sz val="10"/>
      <name val="Arial"/>
      <family val="0"/>
    </font>
    <font>
      <sz val="10"/>
      <name val="Arial"/>
      <family val="0"/>
    </font>
    <font>
      <b val="true"/>
      <sz val="27"/>
      <color rgb="FFFFFFFF"/>
      <name val="Arial"/>
      <family val="0"/>
      <charset val="1"/>
    </font>
    <font>
      <sz val="11"/>
      <color rgb="FFC9D9E6"/>
      <name val="Arial"/>
      <family val="0"/>
      <charset val="1"/>
    </font>
    <font>
      <b val="true"/>
      <sz val="8"/>
      <color rgb="FF8AAEC6"/>
      <name val="Arial"/>
      <family val="0"/>
      <charset val="1"/>
    </font>
    <font>
      <sz val="9.5"/>
      <color rgb="FFEDF2F6"/>
      <name val="Arial"/>
      <family val="0"/>
      <charset val="1"/>
    </font>
    <font>
      <b val="true"/>
      <sz val="12"/>
      <color rgb="FFFFFFFF"/>
      <name val="Arial"/>
      <family val="0"/>
      <charset val="1"/>
    </font>
    <font>
      <b val="true"/>
      <sz val="11"/>
      <color rgb="FFC9D9E6"/>
      <name val="Arial"/>
      <family val="0"/>
      <charset val="1"/>
    </font>
    <font>
      <sz val="8.5"/>
      <color rgb="FF9FB6CA"/>
      <name val="Arial"/>
      <family val="0"/>
      <charset val="1"/>
    </font>
    <font>
      <sz val="8"/>
      <color rgb="FF8FA9C0"/>
      <name val="Arial"/>
      <family val="0"/>
      <charset val="1"/>
    </font>
    <font>
      <b val="true"/>
      <sz val="9"/>
      <color rgb="FF65717D"/>
      <name val="Arial"/>
      <family val="0"/>
      <charset val="1"/>
    </font>
    <font>
      <sz val="8"/>
      <color rgb="FF65717D"/>
      <name val="Arial"/>
      <family val="0"/>
      <charset val="1"/>
    </font>
    <font>
      <u val="single"/>
      <sz val="8"/>
      <color rgb="FF008000"/>
      <name val="Arial"/>
      <family val="0"/>
      <charset val="1"/>
    </font>
    <font>
      <b val="true"/>
      <sz val="17"/>
      <color rgb="FF152435"/>
      <name val="Arial"/>
      <family val="0"/>
      <charset val="1"/>
    </font>
    <font>
      <sz val="8.5"/>
      <color rgb="FF65717D"/>
      <name val="Arial"/>
      <family val="0"/>
      <charset val="1"/>
    </font>
    <font>
      <b val="true"/>
      <sz val="9.5"/>
      <color rgb="FF4E7FA6"/>
      <name val="Arial"/>
      <family val="0"/>
      <charset val="1"/>
    </font>
    <font>
      <sz val="9.5"/>
      <color rgb="FF22272D"/>
      <name val="Arial"/>
      <family val="0"/>
      <charset val="1"/>
    </font>
    <font>
      <b val="true"/>
      <sz val="13"/>
      <color rgb="FF152435"/>
      <name val="Arial"/>
      <family val="0"/>
      <charset val="1"/>
    </font>
    <font>
      <b val="true"/>
      <sz val="13"/>
      <color rgb="FF155A43"/>
      <name val="Arial"/>
      <family val="0"/>
      <charset val="1"/>
    </font>
    <font>
      <sz val="8.5"/>
      <color rgb="FF6E5426"/>
      <name val="Arial"/>
      <family val="0"/>
      <charset val="1"/>
    </font>
    <font>
      <b val="true"/>
      <sz val="10.5"/>
      <color rgb="FFFFFFFF"/>
      <name val="Arial"/>
      <family val="0"/>
      <charset val="1"/>
    </font>
    <font>
      <b val="true"/>
      <sz val="7.5"/>
      <color rgb="FF65717D"/>
      <name val="Arial"/>
      <family val="0"/>
      <charset val="1"/>
    </font>
    <font>
      <sz val="7"/>
      <color rgb="FF65717D"/>
      <name val="Arial"/>
      <family val="0"/>
      <charset val="1"/>
    </font>
    <font>
      <b val="true"/>
      <sz val="18"/>
      <color rgb="FF000000"/>
      <name val="Calibri"/>
      <family val="2"/>
    </font>
    <font>
      <sz val="10"/>
      <color rgb="FF000000"/>
      <name val="Calibri"/>
      <family val="2"/>
    </font>
    <font>
      <b val="true"/>
      <sz val="8.5"/>
      <color rgb="FF65717D"/>
      <name val="Arial"/>
      <family val="0"/>
      <charset val="1"/>
    </font>
    <font>
      <b val="true"/>
      <sz val="15"/>
      <color rgb="FF152435"/>
      <name val="Arial"/>
      <family val="0"/>
      <charset val="1"/>
    </font>
    <font>
      <b val="true"/>
      <sz val="9"/>
      <color rgb="FF4E7FA6"/>
      <name val="Arial"/>
      <family val="0"/>
      <charset val="1"/>
    </font>
    <font>
      <b val="true"/>
      <sz val="10"/>
      <color rgb="FFFFFFFF"/>
      <name val="Arial"/>
      <family val="0"/>
      <charset val="1"/>
    </font>
    <font>
      <b val="true"/>
      <sz val="12"/>
      <color rgb="FF8AAEC6"/>
      <name val="Arial"/>
      <family val="0"/>
      <charset val="1"/>
    </font>
    <font>
      <b val="true"/>
      <sz val="12"/>
      <color rgb="FF0000FF"/>
      <name val="Arial"/>
      <family val="0"/>
      <charset val="1"/>
    </font>
    <font>
      <b val="true"/>
      <sz val="9"/>
      <color rgb="FFFFFFFF"/>
      <name val="Arial"/>
      <family val="0"/>
      <charset val="1"/>
    </font>
    <font>
      <b val="true"/>
      <sz val="9.5"/>
      <color rgb="FF0000FF"/>
      <name val="Arial"/>
      <family val="0"/>
      <charset val="1"/>
    </font>
    <font>
      <b val="true"/>
      <sz val="8.5"/>
      <color rgb="FF6E5426"/>
      <name val="Arial"/>
      <family val="0"/>
      <charset val="1"/>
    </font>
    <font>
      <b val="true"/>
      <sz val="8.5"/>
      <color rgb="FF8A3B3B"/>
      <name val="Arial"/>
      <family val="0"/>
      <charset val="1"/>
    </font>
    <font>
      <b val="true"/>
      <sz val="10"/>
      <color rgb="FF152435"/>
      <name val="Arial"/>
      <family val="0"/>
      <charset val="1"/>
    </font>
    <font>
      <b val="true"/>
      <sz val="9.5"/>
      <color rgb="FF152435"/>
      <name val="Arial"/>
      <family val="0"/>
      <charset val="1"/>
    </font>
    <font>
      <sz val="6.5"/>
      <color rgb="FF65717D"/>
      <name val="Arial"/>
      <family val="0"/>
      <charset val="1"/>
    </font>
    <font>
      <b val="true"/>
      <sz val="9"/>
      <color rgb="FF155A43"/>
      <name val="Arial"/>
      <family val="0"/>
      <charset val="1"/>
    </font>
    <font>
      <sz val="9.5"/>
      <color rgb="FF008000"/>
      <name val="Arial"/>
      <family val="0"/>
      <charset val="1"/>
    </font>
    <font>
      <b val="true"/>
      <sz val="6"/>
      <color rgb="FF152435"/>
      <name val="Arial"/>
      <family val="0"/>
      <charset val="1"/>
    </font>
    <font>
      <b val="true"/>
      <sz val="9.5"/>
      <color rgb="FF8A3B3B"/>
      <name val="Arial"/>
      <family val="0"/>
      <charset val="1"/>
    </font>
    <font>
      <b val="true"/>
      <sz val="9.5"/>
      <name val="Arial"/>
      <family val="0"/>
      <charset val="1"/>
    </font>
    <font>
      <b val="true"/>
      <sz val="14"/>
      <color rgb="FF152435"/>
      <name val="Arial"/>
      <family val="0"/>
      <charset val="1"/>
    </font>
    <font>
      <b val="true"/>
      <sz val="14"/>
      <color rgb="FF155A43"/>
      <name val="Arial"/>
      <family val="0"/>
      <charset val="1"/>
    </font>
  </fonts>
  <fills count="13">
    <fill>
      <patternFill patternType="none"/>
    </fill>
    <fill>
      <patternFill patternType="gray125"/>
    </fill>
    <fill>
      <patternFill patternType="solid">
        <fgColor rgb="FF152435"/>
        <bgColor rgb="FF22272D"/>
      </patternFill>
    </fill>
    <fill>
      <patternFill patternType="solid">
        <fgColor rgb="FF223A55"/>
        <bgColor rgb="FF22272D"/>
      </patternFill>
    </fill>
    <fill>
      <patternFill patternType="solid">
        <fgColor rgb="FF3D6A91"/>
        <bgColor rgb="FF1F6FB0"/>
      </patternFill>
    </fill>
    <fill>
      <patternFill patternType="solid">
        <fgColor rgb="FFFFF3CD"/>
        <bgColor rgb="FFF6E4E4"/>
      </patternFill>
    </fill>
    <fill>
      <patternFill patternType="solid">
        <fgColor rgb="FFEDF2F6"/>
        <bgColor rgb="FFF4F7FA"/>
      </patternFill>
    </fill>
    <fill>
      <patternFill patternType="solid">
        <fgColor rgb="FF4E7FA6"/>
        <bgColor rgb="FF3D6A91"/>
      </patternFill>
    </fill>
    <fill>
      <patternFill patternType="solid">
        <fgColor rgb="FFDCEAF6"/>
        <bgColor rgb="FFDFE6EC"/>
      </patternFill>
    </fill>
    <fill>
      <patternFill patternType="solid">
        <fgColor rgb="FFF4F7FA"/>
        <bgColor rgb="FFEDF2F6"/>
      </patternFill>
    </fill>
    <fill>
      <patternFill patternType="solid">
        <fgColor rgb="FF8AAEC6"/>
        <bgColor rgb="FF8FA9C0"/>
      </patternFill>
    </fill>
    <fill>
      <patternFill patternType="solid">
        <fgColor rgb="FFDFF0E6"/>
        <bgColor rgb="FFDCEAF6"/>
      </patternFill>
    </fill>
    <fill>
      <patternFill patternType="solid">
        <fgColor rgb="FFF6E4E4"/>
        <bgColor rgb="FFDFE6EC"/>
      </patternFill>
    </fill>
  </fills>
  <borders count="4">
    <border diagonalUp="false" diagonalDown="false">
      <left/>
      <right/>
      <top/>
      <bottom/>
      <diagonal/>
    </border>
    <border diagonalUp="false" diagonalDown="false">
      <left style="thin">
        <color rgb="FFD5DEE6"/>
      </left>
      <right style="thin">
        <color rgb="FFD5DEE6"/>
      </right>
      <top style="thin">
        <color rgb="FFD5DEE6"/>
      </top>
      <bottom style="thin">
        <color rgb="FFD5DEE6"/>
      </bottom>
      <diagonal/>
    </border>
    <border diagonalUp="false" diagonalDown="false">
      <left/>
      <right/>
      <top/>
      <bottom style="thin">
        <color rgb="FFDFE6EC"/>
      </bottom>
      <diagonal/>
    </border>
    <border diagonalUp="false" diagonalDown="false">
      <left/>
      <right/>
      <top style="medium">
        <color rgb="FF152435"/>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true" applyAlignment="true" applyProtection="false">
      <alignment horizontal="general" vertical="center" textRotation="0" wrapText="false" indent="1" shrinkToFit="false"/>
      <protection locked="true" hidden="false"/>
    </xf>
    <xf numFmtId="164" fontId="9" fillId="3" borderId="0" xfId="0" applyFont="true" applyBorder="true" applyAlignment="true" applyProtection="false">
      <alignment horizontal="general" vertical="center" textRotation="0" wrapText="false" indent="1"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general" vertical="top"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top"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5" borderId="0" xfId="0" applyFont="true" applyBorder="true" applyAlignment="false" applyProtection="false">
      <alignment horizontal="general" vertical="bottom" textRotation="0" wrapText="false" indent="0" shrinkToFit="false"/>
      <protection locked="true" hidden="false"/>
    </xf>
    <xf numFmtId="164" fontId="22" fillId="2" borderId="0" xfId="0" applyFont="true" applyBorder="true" applyAlignment="true" applyProtection="false">
      <alignment horizontal="general" vertical="center" textRotation="0" wrapText="false" indent="1" shrinkToFit="false"/>
      <protection locked="true" hidden="false"/>
    </xf>
    <xf numFmtId="164" fontId="23" fillId="6" borderId="1" xfId="0" applyFont="true" applyBorder="true" applyAlignment="false" applyProtection="false">
      <alignment horizontal="general" vertical="bottom" textRotation="0" wrapText="false" indent="0" shrinkToFit="false"/>
      <protection locked="true" hidden="false"/>
    </xf>
    <xf numFmtId="164" fontId="19" fillId="6" borderId="1" xfId="0" applyFont="true" applyBorder="true" applyAlignment="false" applyProtection="false">
      <alignment horizontal="general" vertical="bottom" textRotation="0" wrapText="false" indent="0" shrinkToFit="false"/>
      <protection locked="true" hidden="false"/>
    </xf>
    <xf numFmtId="165" fontId="19" fillId="6" borderId="1" xfId="0" applyFont="true" applyBorder="true" applyAlignment="false" applyProtection="false">
      <alignment horizontal="general" vertical="bottom" textRotation="0" wrapText="false" indent="0" shrinkToFit="false"/>
      <protection locked="true" hidden="false"/>
    </xf>
    <xf numFmtId="164" fontId="24" fillId="6" borderId="1" xfId="0" applyFont="true" applyBorder="true" applyAlignment="false" applyProtection="false">
      <alignment horizontal="general" vertical="bottom" textRotation="0" wrapText="false" indent="0" shrinkToFit="false"/>
      <protection locked="true" hidden="false"/>
    </xf>
    <xf numFmtId="166" fontId="19" fillId="6" borderId="1" xfId="0" applyFont="tru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27" fillId="6" borderId="0" xfId="0" applyFont="tru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28" fillId="6" borderId="0" xfId="0" applyFont="true" applyBorder="false" applyAlignment="false" applyProtection="false">
      <alignment horizontal="general" vertical="bottom" textRotation="0" wrapText="false" indent="0" shrinkToFit="false"/>
      <protection locked="true" hidden="false"/>
    </xf>
    <xf numFmtId="164" fontId="19" fillId="6" borderId="0" xfId="0" applyFont="true" applyBorder="false" applyAlignment="false" applyProtection="false">
      <alignment horizontal="general" vertical="bottom" textRotation="0" wrapText="false" indent="0" shrinkToFit="false"/>
      <protection locked="true" hidden="false"/>
    </xf>
    <xf numFmtId="166" fontId="19" fillId="6" borderId="0" xfId="0" applyFont="true" applyBorder="false" applyAlignment="false" applyProtection="false">
      <alignment horizontal="general" vertical="bottom" textRotation="0" wrapText="false" indent="0" shrinkToFit="false"/>
      <protection locked="true" hidden="false"/>
    </xf>
    <xf numFmtId="165" fontId="19" fillId="6"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general" vertical="bottom" textRotation="0" wrapText="tru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30" fillId="2" borderId="0" xfId="0" applyFont="true" applyBorder="true" applyAlignment="false" applyProtection="false">
      <alignment horizontal="general" vertical="bottom" textRotation="0" wrapText="false" indent="0" shrinkToFit="false"/>
      <protection locked="true" hidden="false"/>
    </xf>
    <xf numFmtId="164" fontId="22" fillId="7" borderId="0" xfId="0" applyFont="true" applyBorder="true" applyAlignment="true" applyProtection="false">
      <alignment horizontal="general" vertical="center" textRotation="0" wrapText="false" indent="1"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32" fillId="8" borderId="0" xfId="0" applyFont="true" applyBorder="false" applyAlignment="false" applyProtection="false">
      <alignment horizontal="general" vertical="bottom" textRotation="0" wrapText="false" indent="0" shrinkToFit="false"/>
      <protection locked="true" hidden="false"/>
    </xf>
    <xf numFmtId="164" fontId="33" fillId="2" borderId="0" xfId="0" applyFont="true" applyBorder="false" applyAlignment="true" applyProtection="false">
      <alignment horizontal="general" vertical="center" textRotation="0" wrapText="true" indent="0" shrinkToFit="false"/>
      <protection locked="true" hidden="false"/>
    </xf>
    <xf numFmtId="164" fontId="18" fillId="0" borderId="2" xfId="0" applyFont="true" applyBorder="true" applyAlignment="false" applyProtection="false">
      <alignment horizontal="general" vertical="bottom" textRotation="0" wrapText="false" indent="0" shrinkToFit="false"/>
      <protection locked="true" hidden="false"/>
    </xf>
    <xf numFmtId="164" fontId="34" fillId="8" borderId="2" xfId="0" applyFont="true" applyBorder="true" applyAlignment="false" applyProtection="false">
      <alignment horizontal="general" vertical="bottom" textRotation="0" wrapText="false" indent="0" shrinkToFit="false"/>
      <protection locked="true" hidden="false"/>
    </xf>
    <xf numFmtId="166" fontId="18" fillId="0" borderId="2" xfId="0" applyFont="true" applyBorder="true" applyAlignment="false" applyProtection="false">
      <alignment horizontal="general" vertical="bottom" textRotation="0" wrapText="false" indent="0" shrinkToFit="false"/>
      <protection locked="true" hidden="false"/>
    </xf>
    <xf numFmtId="166" fontId="34" fillId="8" borderId="2" xfId="0" applyFont="true" applyBorder="true" applyAlignment="false" applyProtection="false">
      <alignment horizontal="general" vertical="bottom" textRotation="0" wrapText="false" indent="0" shrinkToFit="false"/>
      <protection locked="true" hidden="false"/>
    </xf>
    <xf numFmtId="167" fontId="18" fillId="0" borderId="2" xfId="0" applyFont="true" applyBorder="true" applyAlignment="false" applyProtection="false">
      <alignment horizontal="general" vertical="bottom" textRotation="0" wrapText="false" indent="0" shrinkToFit="false"/>
      <protection locked="true" hidden="false"/>
    </xf>
    <xf numFmtId="164" fontId="18" fillId="0" borderId="2" xfId="0" applyFont="true" applyBorder="true" applyAlignment="true" applyProtection="false">
      <alignment horizontal="general" vertical="top" textRotation="0" wrapText="true" indent="0" shrinkToFit="false"/>
      <protection locked="true" hidden="false"/>
    </xf>
    <xf numFmtId="166" fontId="34" fillId="8" borderId="2" xfId="0" applyFont="true" applyBorder="true" applyAlignment="true" applyProtection="false">
      <alignment horizontal="general" vertical="top" textRotation="0" wrapText="false" indent="0" shrinkToFit="false"/>
      <protection locked="true" hidden="false"/>
    </xf>
    <xf numFmtId="164" fontId="18" fillId="0" borderId="2" xfId="0" applyFont="true" applyBorder="true" applyAlignment="true" applyProtection="false">
      <alignment horizontal="general" vertical="top" textRotation="0" wrapText="false" indent="0" shrinkToFit="false"/>
      <protection locked="true" hidden="false"/>
    </xf>
    <xf numFmtId="164" fontId="35" fillId="0" borderId="2" xfId="0" applyFont="true" applyBorder="true" applyAlignment="true" applyProtection="false">
      <alignment horizontal="general" vertical="top" textRotation="0" wrapText="false" indent="0" shrinkToFit="false"/>
      <protection locked="true" hidden="false"/>
    </xf>
    <xf numFmtId="164" fontId="34" fillId="8" borderId="2" xfId="0" applyFont="true" applyBorder="true" applyAlignment="true" applyProtection="false">
      <alignment horizontal="general" vertical="top" textRotation="0" wrapText="false" indent="0" shrinkToFit="false"/>
      <protection locked="true" hidden="false"/>
    </xf>
    <xf numFmtId="165" fontId="34" fillId="8" borderId="2" xfId="0" applyFont="true" applyBorder="true" applyAlignment="true" applyProtection="false">
      <alignment horizontal="general" vertical="top" textRotation="0" wrapText="false" indent="0" shrinkToFit="false"/>
      <protection locked="true" hidden="false"/>
    </xf>
    <xf numFmtId="164" fontId="36" fillId="5" borderId="2" xfId="0" applyFont="true" applyBorder="true" applyAlignment="true" applyProtection="false">
      <alignment horizontal="general" vertical="top" textRotation="0" wrapText="false" indent="0" shrinkToFit="false"/>
      <protection locked="true" hidden="false"/>
    </xf>
    <xf numFmtId="164" fontId="16" fillId="0" borderId="0" xfId="0" applyFont="true" applyBorder="true" applyAlignment="true" applyProtection="false">
      <alignment horizontal="general" vertical="top" textRotation="0" wrapText="true" indent="0" shrinkToFit="false"/>
      <protection locked="true" hidden="false"/>
    </xf>
    <xf numFmtId="168" fontId="34" fillId="8" borderId="2" xfId="0" applyFont="true" applyBorder="true" applyAlignment="false" applyProtection="false">
      <alignment horizontal="general" vertical="bottom" textRotation="0" wrapText="false" indent="0" shrinkToFit="false"/>
      <protection locked="true" hidden="false"/>
    </xf>
    <xf numFmtId="168" fontId="18" fillId="0" borderId="2" xfId="0" applyFont="true" applyBorder="true" applyAlignment="false" applyProtection="false">
      <alignment horizontal="general" vertical="bottom" textRotation="0" wrapText="false" indent="0" shrinkToFit="false"/>
      <protection locked="true" hidden="false"/>
    </xf>
    <xf numFmtId="168" fontId="0" fillId="0" borderId="2" xfId="0" applyFont="false" applyBorder="true" applyAlignment="false" applyProtection="false">
      <alignment horizontal="general" vertical="bottom" textRotation="0" wrapText="false" indent="0" shrinkToFit="false"/>
      <protection locked="true" hidden="false"/>
    </xf>
    <xf numFmtId="166" fontId="0" fillId="0" borderId="2" xfId="0" applyFont="false" applyBorder="true" applyAlignment="false" applyProtection="false">
      <alignment horizontal="general" vertical="bottom" textRotation="0" wrapText="false" indent="0" shrinkToFit="false"/>
      <protection locked="true" hidden="false"/>
    </xf>
    <xf numFmtId="168" fontId="34" fillId="8"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23" fillId="6" borderId="0" xfId="0" applyFont="true" applyBorder="false" applyAlignment="false" applyProtection="false">
      <alignment horizontal="general" vertical="bottom" textRotation="0" wrapText="false" indent="0" shrinkToFit="false"/>
      <protection locked="true" hidden="false"/>
    </xf>
    <xf numFmtId="164" fontId="37" fillId="6" borderId="0" xfId="0" applyFont="true" applyBorder="false" applyAlignment="false" applyProtection="false">
      <alignment horizontal="general" vertical="bottom" textRotation="0" wrapText="false" indent="0" shrinkToFit="false"/>
      <protection locked="true" hidden="false"/>
    </xf>
    <xf numFmtId="165" fontId="34" fillId="8" borderId="2" xfId="0" applyFont="true" applyBorder="true" applyAlignment="false" applyProtection="false">
      <alignment horizontal="general" vertical="bottom" textRotation="0" wrapText="false" indent="0" shrinkToFit="false"/>
      <protection locked="true" hidden="false"/>
    </xf>
    <xf numFmtId="165" fontId="0" fillId="0" borderId="2" xfId="0" applyFont="false" applyBorder="true" applyAlignment="false" applyProtection="false">
      <alignment horizontal="general" vertical="bottom" textRotation="0" wrapText="false" indent="0" shrinkToFit="false"/>
      <protection locked="true" hidden="false"/>
    </xf>
    <xf numFmtId="165" fontId="18" fillId="9" borderId="0" xfId="0" applyFont="true" applyBorder="false" applyAlignment="false" applyProtection="false">
      <alignment horizontal="general"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5" fontId="0" fillId="0" borderId="3" xfId="0" applyFont="false" applyBorder="true" applyAlignment="false" applyProtection="false">
      <alignment horizontal="general" vertical="bottom" textRotation="0" wrapText="false" indent="0" shrinkToFit="false"/>
      <protection locked="true" hidden="false"/>
    </xf>
    <xf numFmtId="169" fontId="0" fillId="0" borderId="2" xfId="0" applyFont="false" applyBorder="true" applyAlignment="false" applyProtection="false">
      <alignment horizontal="general" vertical="bottom" textRotation="0" wrapText="false" indent="0" shrinkToFit="false"/>
      <protection locked="true" hidden="false"/>
    </xf>
    <xf numFmtId="170" fontId="0" fillId="0" borderId="3" xfId="0" applyFont="fals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6" fillId="0" borderId="2" xfId="0" applyFont="true" applyBorder="true" applyAlignment="false" applyProtection="false">
      <alignment horizontal="general" vertical="bottom" textRotation="0" wrapText="false" indent="0" shrinkToFit="false"/>
      <protection locked="true" hidden="false"/>
    </xf>
    <xf numFmtId="164" fontId="39" fillId="0" borderId="0" xfId="0" applyFont="true" applyBorder="false" applyAlignment="false" applyProtection="false">
      <alignment horizontal="general" vertical="bottom" textRotation="0" wrapText="false" indent="0" shrinkToFit="false"/>
      <protection locked="tru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40" fillId="11" borderId="2" xfId="0" applyFont="true" applyBorder="tru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5" fontId="18" fillId="0" borderId="2" xfId="0" applyFont="true" applyBorder="true" applyAlignment="true" applyProtection="false">
      <alignment horizontal="general" vertical="top" textRotation="0" wrapText="false" indent="0" shrinkToFit="false"/>
      <protection locked="true" hidden="false"/>
    </xf>
    <xf numFmtId="165" fontId="34" fillId="8" borderId="0" xfId="0" applyFont="true" applyBorder="false" applyAlignment="false" applyProtection="false">
      <alignment horizontal="general" vertical="bottom" textRotation="0" wrapText="false" indent="0" shrinkToFit="false"/>
      <protection locked="true" hidden="false"/>
    </xf>
    <xf numFmtId="165" fontId="41" fillId="0" borderId="0" xfId="0" applyFont="true" applyBorder="false" applyAlignment="false" applyProtection="false">
      <alignment horizontal="general" vertical="bottom" textRotation="0" wrapText="false" indent="0" shrinkToFit="false"/>
      <protection locked="true" hidden="false"/>
    </xf>
    <xf numFmtId="165" fontId="41" fillId="0" borderId="2" xfId="0" applyFont="true" applyBorder="true" applyAlignment="false" applyProtection="false">
      <alignment horizontal="general" vertical="bottom" textRotation="0" wrapText="false" indent="0" shrinkToFit="false"/>
      <protection locked="true" hidden="false"/>
    </xf>
    <xf numFmtId="164" fontId="38" fillId="0" borderId="2" xfId="0" applyFont="true" applyBorder="true" applyAlignment="false" applyProtection="false">
      <alignment horizontal="general" vertical="bottom" textRotation="0" wrapText="false" indent="0" shrinkToFit="false"/>
      <protection locked="true" hidden="false"/>
    </xf>
    <xf numFmtId="165" fontId="38" fillId="0" borderId="3" xfId="0" applyFont="true" applyBorder="true" applyAlignment="false" applyProtection="false">
      <alignment horizontal="general" vertical="bottom" textRotation="0" wrapText="false" indent="0" shrinkToFit="false"/>
      <protection locked="true" hidden="false"/>
    </xf>
    <xf numFmtId="164" fontId="0" fillId="12" borderId="0" xfId="0" applyFont="false" applyBorder="false" applyAlignment="false" applyProtection="false">
      <alignment horizontal="general" vertical="bottom" textRotation="0" wrapText="false" indent="0" shrinkToFit="false"/>
      <protection locked="true" hidden="false"/>
    </xf>
    <xf numFmtId="164" fontId="0" fillId="11" borderId="0" xfId="0" applyFont="false" applyBorder="false" applyAlignment="false" applyProtection="false">
      <alignment horizontal="general" vertical="bottom" textRotation="0" wrapText="false" indent="0" shrinkToFit="false"/>
      <protection locked="true" hidden="false"/>
    </xf>
    <xf numFmtId="164" fontId="42" fillId="0" borderId="0" xfId="0" applyFont="true" applyBorder="false" applyAlignment="true" applyProtection="false">
      <alignment horizontal="right" vertical="bottom" textRotation="90" wrapText="false" indent="0" shrinkToFit="false"/>
      <protection locked="true" hidden="false"/>
    </xf>
    <xf numFmtId="165" fontId="18" fillId="0" borderId="2" xfId="0" applyFont="true" applyBorder="true" applyAlignment="false" applyProtection="false">
      <alignment horizontal="general" vertical="bottom" textRotation="0" wrapText="false" indent="0" shrinkToFit="false"/>
      <protection locked="true" hidden="false"/>
    </xf>
    <xf numFmtId="164" fontId="33" fillId="2" borderId="0" xfId="0" applyFont="true" applyBorder="false" applyAlignment="false" applyProtection="false">
      <alignment horizontal="general" vertical="bottom" textRotation="0" wrapText="false" indent="0" shrinkToFit="false"/>
      <protection locked="true" hidden="false"/>
    </xf>
    <xf numFmtId="169" fontId="18" fillId="0" borderId="1" xfId="0" applyFont="true" applyBorder="true" applyAlignment="false" applyProtection="false">
      <alignment horizontal="general" vertical="bottom" textRotation="0" wrapText="false" indent="0" shrinkToFit="false"/>
      <protection locked="true" hidden="false"/>
    </xf>
    <xf numFmtId="171" fontId="0" fillId="0" borderId="2"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43" fillId="12" borderId="0" xfId="0" applyFont="true" applyBorder="true" applyAlignment="false" applyProtection="false">
      <alignment horizontal="general" vertical="bottom" textRotation="0" wrapText="false" indent="0" shrinkToFit="false"/>
      <protection locked="true" hidden="false"/>
    </xf>
    <xf numFmtId="164" fontId="44" fillId="0" borderId="2" xfId="0" applyFont="true" applyBorder="true" applyAlignment="true" applyProtection="false">
      <alignment horizontal="center" vertical="bottom" textRotation="0" wrapText="false" indent="0"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4" fontId="4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Arial"/>
        <charset val="1"/>
        <family val="0"/>
        <b val="1"/>
        <color rgb="FF155A43"/>
      </font>
      <fill>
        <patternFill>
          <bgColor rgb="FFDFF0E6"/>
        </patternFill>
      </fill>
    </dxf>
    <dxf>
      <font>
        <name val="Arial"/>
        <charset val="1"/>
        <family val="0"/>
        <b val="1"/>
        <color rgb="FF8A3B3B"/>
      </font>
      <fill>
        <patternFill>
          <bgColor rgb="FFF6E4E4"/>
        </patternFill>
      </fill>
    </dxf>
    <dxf>
      <font>
        <name val="Arial"/>
        <charset val="1"/>
        <family val="0"/>
        <b val="1"/>
        <color rgb="FF6E5426"/>
      </font>
      <fill>
        <patternFill>
          <bgColor rgb="FFFFF3CD"/>
        </patternFill>
      </fill>
    </dxf>
  </dxfs>
  <colors>
    <indexedColors>
      <rgbColor rgb="FF000000"/>
      <rgbColor rgb="FFFFFFFF"/>
      <rgbColor rgb="FFFF0000"/>
      <rgbColor rgb="FF00FF00"/>
      <rgbColor rgb="FF0000FF"/>
      <rgbColor rgb="FFEDF2F6"/>
      <rgbColor rgb="FFFF00FF"/>
      <rgbColor rgb="FF00FFFF"/>
      <rgbColor rgb="FF800000"/>
      <rgbColor rgb="FF008000"/>
      <rgbColor rgb="FF000080"/>
      <rgbColor rgb="FFA96E24"/>
      <rgbColor rgb="FF800080"/>
      <rgbColor rgb="FF1E7A4C"/>
      <rgbColor rgb="FF9FB6CA"/>
      <rgbColor rgb="FF878787"/>
      <rgbColor rgb="FF8AAEC6"/>
      <rgbColor rgb="FF8A3B3B"/>
      <rgbColor rgb="FFFFF3CD"/>
      <rgbColor rgb="FFDFF0E6"/>
      <rgbColor rgb="FF660066"/>
      <rgbColor rgb="FFFF8080"/>
      <rgbColor rgb="FF1F6FB0"/>
      <rgbColor rgb="FFC9D9E6"/>
      <rgbColor rgb="FF000080"/>
      <rgbColor rgb="FFFF00FF"/>
      <rgbColor rgb="FFFFFF00"/>
      <rgbColor rgb="FF00FFFF"/>
      <rgbColor rgb="FF800080"/>
      <rgbColor rgb="FF800000"/>
      <rgbColor rgb="FF155A43"/>
      <rgbColor rgb="FF0000FF"/>
      <rgbColor rgb="FF00CCFF"/>
      <rgbColor rgb="FFDCEAF6"/>
      <rgbColor rgb="FFDFE6EC"/>
      <rgbColor rgb="FFF4F7FA"/>
      <rgbColor rgb="FF9FB0C0"/>
      <rgbColor rgb="FFD5DEE6"/>
      <rgbColor rgb="FFD9D9D9"/>
      <rgbColor rgb="FFF6E4E4"/>
      <rgbColor rgb="FF3D6A91"/>
      <rgbColor rgb="FF33CCCC"/>
      <rgbColor rgb="FF99CC00"/>
      <rgbColor rgb="FFFFCC00"/>
      <rgbColor rgb="FFFF9900"/>
      <rgbColor rgb="FFFF6600"/>
      <rgbColor rgb="FF65717D"/>
      <rgbColor rgb="FF8FA9C0"/>
      <rgbColor rgb="FF223A55"/>
      <rgbColor rgb="FF4E7FA6"/>
      <rgbColor rgb="FF152435"/>
      <rgbColor rgb="FF333300"/>
      <rgbColor rgb="FF6E5426"/>
      <rgbColor rgb="FF993366"/>
      <rgbColor rgb="FF333399"/>
      <rgbColor rgb="FF22272D"/>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worksheet" Target="worksheets/sheet33.xml"/><Relationship Id="rId36" Type="http://schemas.openxmlformats.org/officeDocument/2006/relationships/worksheet" Target="worksheets/sheet34.xml"/><Relationship Id="rId37"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Revenue by year (NOK)</a:t>
            </a:r>
          </a:p>
        </c:rich>
      </c:tx>
      <c:overlay val="0"/>
      <c:spPr>
        <a:noFill/>
        <a:ln w="0">
          <a:noFill/>
        </a:ln>
      </c:spPr>
    </c:title>
    <c:autoTitleDeleted val="0"/>
    <c:plotArea>
      <c:barChart>
        <c:barDir val="col"/>
        <c:grouping val="clustered"/>
        <c:varyColors val="0"/>
        <c:ser>
          <c:idx val="0"/>
          <c:order val="0"/>
          <c:spPr>
            <a:solidFill>
              <a:srgbClr val="1f6fb0"/>
            </a:solidFill>
            <a:ln w="936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02_Executive_Dashboard!$P$60:$P$62</c:f>
              <c:strCache>
                <c:ptCount val="3"/>
                <c:pt idx="0">
                  <c:v>FY2027</c:v>
                </c:pt>
                <c:pt idx="1">
                  <c:v>FY2028</c:v>
                </c:pt>
                <c:pt idx="2">
                  <c:v>FY2029</c:v>
                </c:pt>
              </c:strCache>
            </c:strRef>
          </c:cat>
          <c:val>
            <c:numRef>
              <c:f>02_Executive_Dashboard!$Q$60:$Q$62</c:f>
              <c:numCache>
                <c:formatCode>General</c:formatCode>
                <c:ptCount val="3"/>
                <c:pt idx="0">
                  <c:v>2088788</c:v>
                </c:pt>
                <c:pt idx="1">
                  <c:v>11557379</c:v>
                </c:pt>
                <c:pt idx="2">
                  <c:v>32001019</c:v>
                </c:pt>
              </c:numCache>
            </c:numRef>
          </c:val>
        </c:ser>
        <c:gapWidth val="150"/>
        <c:overlap val="0"/>
        <c:axId val="29989438"/>
        <c:axId val="4942438"/>
      </c:barChart>
      <c:catAx>
        <c:axId val="29989438"/>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4942438"/>
        <c:crosses val="autoZero"/>
        <c:auto val="1"/>
        <c:lblAlgn val="ctr"/>
        <c:lblOffset val="100"/>
        <c:noMultiLvlLbl val="0"/>
      </c:catAx>
      <c:valAx>
        <c:axId val="4942438"/>
        <c:scaling>
          <c:orientation val="minMax"/>
        </c:scaling>
        <c:delete val="0"/>
        <c:axPos val="l"/>
        <c:majorGridlines>
          <c:spPr>
            <a:ln w="9360">
              <a:solidFill>
                <a:srgbClr val="878787"/>
              </a:solidFill>
              <a:round/>
            </a:ln>
          </c:spPr>
        </c:majorGridlines>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29989438"/>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Closing cash M1–M36 (NOK)</a:t>
            </a:r>
          </a:p>
        </c:rich>
      </c:tx>
      <c:overlay val="0"/>
      <c:spPr>
        <a:noFill/>
        <a:ln w="0">
          <a:noFill/>
        </a:ln>
      </c:spPr>
    </c:title>
    <c:autoTitleDeleted val="0"/>
    <c:plotArea>
      <c:lineChart>
        <c:grouping val="standard"/>
        <c:varyColors val="0"/>
        <c:ser>
          <c:idx val="0"/>
          <c:order val="0"/>
          <c:spPr>
            <a:solidFill>
              <a:srgbClr val="1f6fb0"/>
            </a:solidFill>
            <a:ln w="21960">
              <a:solidFill>
                <a:srgbClr val="1f6fb0"/>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24_Cash_Flow!$F$9:$F$44</c:f>
              <c:numCache>
                <c:formatCode>#,##0;[RED]\(#,##0\);\–</c:formatCode>
                <c:ptCount val="36"/>
                <c:pt idx="0">
                  <c:v>1511000</c:v>
                </c:pt>
                <c:pt idx="1">
                  <c:v>1393000</c:v>
                </c:pt>
                <c:pt idx="2">
                  <c:v>1305000</c:v>
                </c:pt>
                <c:pt idx="3">
                  <c:v>1220404</c:v>
                </c:pt>
                <c:pt idx="4">
                  <c:v>1156506</c:v>
                </c:pt>
                <c:pt idx="5">
                  <c:v>1081528</c:v>
                </c:pt>
                <c:pt idx="6">
                  <c:v>747034</c:v>
                </c:pt>
                <c:pt idx="7">
                  <c:v>685017</c:v>
                </c:pt>
                <c:pt idx="8">
                  <c:v>452312</c:v>
                </c:pt>
                <c:pt idx="9">
                  <c:v>443523</c:v>
                </c:pt>
                <c:pt idx="10">
                  <c:v>266190</c:v>
                </c:pt>
                <c:pt idx="11">
                  <c:v>315195</c:v>
                </c:pt>
                <c:pt idx="12">
                  <c:v>196943</c:v>
                </c:pt>
                <c:pt idx="13">
                  <c:v>309495</c:v>
                </c:pt>
                <c:pt idx="14">
                  <c:v>258973</c:v>
                </c:pt>
                <c:pt idx="15">
                  <c:v>436950</c:v>
                </c:pt>
                <c:pt idx="16">
                  <c:v>451639</c:v>
                </c:pt>
                <c:pt idx="17">
                  <c:v>645110</c:v>
                </c:pt>
                <c:pt idx="18">
                  <c:v>650848</c:v>
                </c:pt>
                <c:pt idx="19">
                  <c:v>884626</c:v>
                </c:pt>
                <c:pt idx="20">
                  <c:v>954866</c:v>
                </c:pt>
                <c:pt idx="21">
                  <c:v>1257369</c:v>
                </c:pt>
                <c:pt idx="22">
                  <c:v>1400931</c:v>
                </c:pt>
                <c:pt idx="23">
                  <c:v>1781754</c:v>
                </c:pt>
                <c:pt idx="24">
                  <c:v>2010691</c:v>
                </c:pt>
                <c:pt idx="25">
                  <c:v>2484409</c:v>
                </c:pt>
                <c:pt idx="26">
                  <c:v>2812634</c:v>
                </c:pt>
                <c:pt idx="27">
                  <c:v>3392570</c:v>
                </c:pt>
                <c:pt idx="28">
                  <c:v>3834522</c:v>
                </c:pt>
                <c:pt idx="29">
                  <c:v>4536317</c:v>
                </c:pt>
                <c:pt idx="30">
                  <c:v>5108932</c:v>
                </c:pt>
                <c:pt idx="31">
                  <c:v>5950920</c:v>
                </c:pt>
                <c:pt idx="32">
                  <c:v>6674039</c:v>
                </c:pt>
                <c:pt idx="33">
                  <c:v>7676988</c:v>
                </c:pt>
                <c:pt idx="34">
                  <c:v>8570342</c:v>
                </c:pt>
                <c:pt idx="35">
                  <c:v>9754477</c:v>
                </c:pt>
              </c:numCache>
            </c:numRef>
          </c:val>
          <c:smooth val="1"/>
        </c:ser>
        <c:hiLowLines>
          <c:spPr>
            <a:ln w="0">
              <a:noFill/>
            </a:ln>
          </c:spPr>
        </c:hiLowLines>
        <c:marker val="0"/>
        <c:axId val="93238177"/>
        <c:axId val="86903939"/>
      </c:lineChart>
      <c:catAx>
        <c:axId val="93238177"/>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86903939"/>
        <c:crosses val="autoZero"/>
        <c:auto val="1"/>
        <c:lblAlgn val="ctr"/>
        <c:lblOffset val="100"/>
        <c:noMultiLvlLbl val="0"/>
      </c:catAx>
      <c:valAx>
        <c:axId val="86903939"/>
        <c:scaling>
          <c:orientation val="minMax"/>
        </c:scaling>
        <c:delete val="0"/>
        <c:axPos val="l"/>
        <c:majorGridlines>
          <c:spPr>
            <a:ln w="9360">
              <a:solidFill>
                <a:srgbClr val="878787"/>
              </a:solidFill>
              <a:round/>
            </a:ln>
          </c:spPr>
        </c:majorGridlines>
        <c:numFmt formatCode="#,##0;[RED]\(#,##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93238177"/>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EBITDA FY2029 by scenario (NOK)</a:t>
            </a:r>
          </a:p>
        </c:rich>
      </c:tx>
      <c:overlay val="0"/>
      <c:spPr>
        <a:noFill/>
        <a:ln w="0">
          <a:noFill/>
        </a:ln>
      </c:spPr>
    </c:title>
    <c:autoTitleDeleted val="0"/>
    <c:plotArea>
      <c:barChart>
        <c:barDir val="col"/>
        <c:grouping val="clustered"/>
        <c:varyColors val="0"/>
        <c:ser>
          <c:idx val="0"/>
          <c:order val="0"/>
          <c:spPr>
            <a:solidFill>
              <a:srgbClr val="1f6fb0"/>
            </a:solidFill>
            <a:ln w="936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27_Scenarios!$C$12</c:f>
              <c:numCache>
                <c:formatCode>#,##0;[RED]\(#,##0\);\–</c:formatCode>
                <c:ptCount val="1"/>
                <c:pt idx="0">
                  <c:v>6899838</c:v>
                </c:pt>
              </c:numCache>
            </c:numRef>
          </c:val>
        </c:ser>
        <c:ser>
          <c:idx val="1"/>
          <c:order val="1"/>
          <c:spPr>
            <a:solidFill>
              <a:srgbClr val="a96e24"/>
            </a:solidFill>
            <a:ln w="936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27_Scenarios!$D$12</c:f>
              <c:numCache>
                <c:formatCode>#,##0;[RED]\(#,##0\);\–</c:formatCode>
                <c:ptCount val="1"/>
                <c:pt idx="0">
                  <c:v>11735288</c:v>
                </c:pt>
              </c:numCache>
            </c:numRef>
          </c:val>
        </c:ser>
        <c:ser>
          <c:idx val="2"/>
          <c:order val="2"/>
          <c:spPr>
            <a:solidFill>
              <a:srgbClr val="3d6a91"/>
            </a:solidFill>
            <a:ln w="936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27_Scenarios!$E$12</c:f>
              <c:numCache>
                <c:formatCode>#,##0;[RED]\(#,##0\);\–</c:formatCode>
                <c:ptCount val="1"/>
                <c:pt idx="0">
                  <c:v>16855835</c:v>
                </c:pt>
              </c:numCache>
            </c:numRef>
          </c:val>
        </c:ser>
        <c:gapWidth val="150"/>
        <c:overlap val="0"/>
        <c:axId val="91976821"/>
        <c:axId val="298284"/>
      </c:barChart>
      <c:catAx>
        <c:axId val="91976821"/>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298284"/>
        <c:crosses val="autoZero"/>
        <c:auto val="1"/>
        <c:lblAlgn val="ctr"/>
        <c:lblOffset val="100"/>
        <c:noMultiLvlLbl val="0"/>
      </c:catAx>
      <c:valAx>
        <c:axId val="298284"/>
        <c:scaling>
          <c:orientation val="minMax"/>
        </c:scaling>
        <c:delete val="0"/>
        <c:axPos val="l"/>
        <c:majorGridlines>
          <c:spPr>
            <a:ln w="9360">
              <a:solidFill>
                <a:srgbClr val="878787"/>
              </a:solidFill>
              <a:round/>
            </a:ln>
          </c:spPr>
        </c:majorGridlines>
        <c:numFmt formatCode="#,##0;[RED]\(#,##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91976821"/>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Monthly revenue &amp; EBITDA (NOK)</a:t>
            </a:r>
          </a:p>
        </c:rich>
      </c:tx>
      <c:overlay val="0"/>
      <c:spPr>
        <a:noFill/>
        <a:ln w="0">
          <a:noFill/>
        </a:ln>
      </c:spPr>
    </c:title>
    <c:autoTitleDeleted val="0"/>
    <c:plotArea>
      <c:lineChart>
        <c:grouping val="standard"/>
        <c:varyColors val="0"/>
        <c:ser>
          <c:idx val="0"/>
          <c:order val="0"/>
          <c:spPr>
            <a:solidFill>
              <a:srgbClr val="1f6fb0"/>
            </a:solidFill>
            <a:ln w="21960">
              <a:solidFill>
                <a:srgbClr val="1f6fb0"/>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02_Executive_Dashboard!$Q$70:$Q$105</c:f>
              <c:numCache>
                <c:formatCode>General</c:formatCode>
                <c:ptCount val="36"/>
                <c:pt idx="0">
                  <c:v>0</c:v>
                </c:pt>
                <c:pt idx="1">
                  <c:v>0</c:v>
                </c:pt>
                <c:pt idx="2">
                  <c:v>0</c:v>
                </c:pt>
                <c:pt idx="3">
                  <c:v>39613</c:v>
                </c:pt>
                <c:pt idx="4">
                  <c:v>85114</c:v>
                </c:pt>
                <c:pt idx="5">
                  <c:v>130977</c:v>
                </c:pt>
                <c:pt idx="6">
                  <c:v>178052</c:v>
                </c:pt>
                <c:pt idx="7">
                  <c:v>226562</c:v>
                </c:pt>
                <c:pt idx="8">
                  <c:v>276741</c:v>
                </c:pt>
                <c:pt idx="9">
                  <c:v>328833</c:v>
                </c:pt>
                <c:pt idx="10">
                  <c:v>383095</c:v>
                </c:pt>
                <c:pt idx="11">
                  <c:v>439801</c:v>
                </c:pt>
                <c:pt idx="12">
                  <c:v>510934</c:v>
                </c:pt>
                <c:pt idx="13">
                  <c:v>579045</c:v>
                </c:pt>
                <c:pt idx="14">
                  <c:v>650517</c:v>
                </c:pt>
                <c:pt idx="15">
                  <c:v>725695</c:v>
                </c:pt>
                <c:pt idx="16">
                  <c:v>804949</c:v>
                </c:pt>
                <c:pt idx="17">
                  <c:v>888672</c:v>
                </c:pt>
                <c:pt idx="18">
                  <c:v>977285</c:v>
                </c:pt>
                <c:pt idx="19">
                  <c:v>1071241</c:v>
                </c:pt>
                <c:pt idx="20">
                  <c:v>1171021</c:v>
                </c:pt>
                <c:pt idx="21">
                  <c:v>1277146</c:v>
                </c:pt>
                <c:pt idx="22">
                  <c:v>1390173</c:v>
                </c:pt>
                <c:pt idx="23">
                  <c:v>1510701</c:v>
                </c:pt>
                <c:pt idx="24">
                  <c:v>1649051</c:v>
                </c:pt>
                <c:pt idx="25">
                  <c:v>1796238</c:v>
                </c:pt>
                <c:pt idx="26">
                  <c:v>1953010</c:v>
                </c:pt>
                <c:pt idx="27">
                  <c:v>2120168</c:v>
                </c:pt>
                <c:pt idx="28">
                  <c:v>2298579</c:v>
                </c:pt>
                <c:pt idx="29">
                  <c:v>2489175</c:v>
                </c:pt>
                <c:pt idx="30">
                  <c:v>2692960</c:v>
                </c:pt>
                <c:pt idx="31">
                  <c:v>2911019</c:v>
                </c:pt>
                <c:pt idx="32">
                  <c:v>3144521</c:v>
                </c:pt>
                <c:pt idx="33">
                  <c:v>3390578</c:v>
                </c:pt>
                <c:pt idx="34">
                  <c:v>3642256</c:v>
                </c:pt>
                <c:pt idx="35">
                  <c:v>3913464</c:v>
                </c:pt>
              </c:numCache>
            </c:numRef>
          </c:val>
          <c:smooth val="1"/>
        </c:ser>
        <c:ser>
          <c:idx val="1"/>
          <c:order val="1"/>
          <c:spPr>
            <a:solidFill>
              <a:srgbClr val="a96e24"/>
            </a:solidFill>
            <a:ln w="21960">
              <a:solidFill>
                <a:srgbClr val="a96e24"/>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02_Executive_Dashboard!$R$70:$R$105</c:f>
              <c:numCache>
                <c:formatCode>General</c:formatCode>
                <c:ptCount val="36"/>
                <c:pt idx="0">
                  <c:v>-253000</c:v>
                </c:pt>
                <c:pt idx="1">
                  <c:v>-118000</c:v>
                </c:pt>
                <c:pt idx="2">
                  <c:v>-88000</c:v>
                </c:pt>
                <c:pt idx="3">
                  <c:v>-84596</c:v>
                </c:pt>
                <c:pt idx="4">
                  <c:v>-63898</c:v>
                </c:pt>
                <c:pt idx="5">
                  <c:v>-74978</c:v>
                </c:pt>
                <c:pt idx="6">
                  <c:v>-98494</c:v>
                </c:pt>
                <c:pt idx="7">
                  <c:v>-62017</c:v>
                </c:pt>
                <c:pt idx="8">
                  <c:v>-35905</c:v>
                </c:pt>
                <c:pt idx="9">
                  <c:v>-8789</c:v>
                </c:pt>
                <c:pt idx="10">
                  <c:v>19467</c:v>
                </c:pt>
                <c:pt idx="11">
                  <c:v>49005</c:v>
                </c:pt>
                <c:pt idx="12">
                  <c:v>78548</c:v>
                </c:pt>
                <c:pt idx="13">
                  <c:v>112552</c:v>
                </c:pt>
                <c:pt idx="14">
                  <c:v>146278</c:v>
                </c:pt>
                <c:pt idx="15">
                  <c:v>177977</c:v>
                </c:pt>
                <c:pt idx="16">
                  <c:v>211489</c:v>
                </c:pt>
                <c:pt idx="17">
                  <c:v>221989</c:v>
                </c:pt>
                <c:pt idx="18">
                  <c:v>259664</c:v>
                </c:pt>
                <c:pt idx="19">
                  <c:v>299716</c:v>
                </c:pt>
                <c:pt idx="20">
                  <c:v>342359</c:v>
                </c:pt>
                <c:pt idx="21">
                  <c:v>387825</c:v>
                </c:pt>
                <c:pt idx="22">
                  <c:v>436361</c:v>
                </c:pt>
                <c:pt idx="23">
                  <c:v>488234</c:v>
                </c:pt>
                <c:pt idx="24">
                  <c:v>545817</c:v>
                </c:pt>
                <c:pt idx="25">
                  <c:v>607331</c:v>
                </c:pt>
                <c:pt idx="26">
                  <c:v>673109</c:v>
                </c:pt>
                <c:pt idx="27">
                  <c:v>743508</c:v>
                </c:pt>
                <c:pt idx="28">
                  <c:v>818913</c:v>
                </c:pt>
                <c:pt idx="29">
                  <c:v>899737</c:v>
                </c:pt>
                <c:pt idx="30">
                  <c:v>986430</c:v>
                </c:pt>
                <c:pt idx="31">
                  <c:v>1079472</c:v>
                </c:pt>
                <c:pt idx="32">
                  <c:v>1179384</c:v>
                </c:pt>
                <c:pt idx="33">
                  <c:v>1285832</c:v>
                </c:pt>
                <c:pt idx="34">
                  <c:v>1397633</c:v>
                </c:pt>
                <c:pt idx="35">
                  <c:v>1518122</c:v>
                </c:pt>
              </c:numCache>
            </c:numRef>
          </c:val>
          <c:smooth val="1"/>
        </c:ser>
        <c:hiLowLines>
          <c:spPr>
            <a:ln w="0">
              <a:noFill/>
            </a:ln>
          </c:spPr>
        </c:hiLowLines>
        <c:marker val="0"/>
        <c:axId val="57820712"/>
        <c:axId val="90737712"/>
      </c:lineChart>
      <c:catAx>
        <c:axId val="57820712"/>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90737712"/>
        <c:crosses val="autoZero"/>
        <c:auto val="1"/>
        <c:lblAlgn val="ctr"/>
        <c:lblOffset val="100"/>
        <c:noMultiLvlLbl val="0"/>
      </c:catAx>
      <c:valAx>
        <c:axId val="90737712"/>
        <c:scaling>
          <c:orientation val="minMax"/>
        </c:scaling>
        <c:delete val="0"/>
        <c:axPos val="l"/>
        <c:majorGridlines>
          <c:spPr>
            <a:ln w="9360">
              <a:solidFill>
                <a:srgbClr val="878787"/>
              </a:solidFill>
              <a:round/>
            </a:ln>
          </c:spPr>
        </c:majorGridlines>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7820712"/>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Closing cash &amp; minimum liquidity (NOK)</a:t>
            </a:r>
          </a:p>
        </c:rich>
      </c:tx>
      <c:overlay val="0"/>
      <c:spPr>
        <a:noFill/>
        <a:ln w="0">
          <a:noFill/>
        </a:ln>
      </c:spPr>
    </c:title>
    <c:autoTitleDeleted val="0"/>
    <c:plotArea>
      <c:lineChart>
        <c:grouping val="standard"/>
        <c:varyColors val="0"/>
        <c:ser>
          <c:idx val="0"/>
          <c:order val="0"/>
          <c:spPr>
            <a:solidFill>
              <a:srgbClr val="1f6fb0"/>
            </a:solidFill>
            <a:ln w="21960">
              <a:solidFill>
                <a:srgbClr val="1f6fb0"/>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02_Executive_Dashboard!$S$70:$S$105</c:f>
              <c:numCache>
                <c:formatCode>#,##0;[RED]\(#,##0\);\–</c:formatCode>
                <c:ptCount val="36"/>
                <c:pt idx="0">
                  <c:v>1511000</c:v>
                </c:pt>
                <c:pt idx="1">
                  <c:v>1393000</c:v>
                </c:pt>
                <c:pt idx="2">
                  <c:v>1305000</c:v>
                </c:pt>
                <c:pt idx="3">
                  <c:v>1220404</c:v>
                </c:pt>
                <c:pt idx="4">
                  <c:v>1156506</c:v>
                </c:pt>
                <c:pt idx="5">
                  <c:v>1081528</c:v>
                </c:pt>
                <c:pt idx="6">
                  <c:v>747034</c:v>
                </c:pt>
                <c:pt idx="7">
                  <c:v>685017</c:v>
                </c:pt>
                <c:pt idx="8">
                  <c:v>452312</c:v>
                </c:pt>
                <c:pt idx="9">
                  <c:v>443523</c:v>
                </c:pt>
                <c:pt idx="10">
                  <c:v>266190</c:v>
                </c:pt>
                <c:pt idx="11">
                  <c:v>315195</c:v>
                </c:pt>
                <c:pt idx="12">
                  <c:v>196943</c:v>
                </c:pt>
                <c:pt idx="13">
                  <c:v>309495</c:v>
                </c:pt>
                <c:pt idx="14">
                  <c:v>258973</c:v>
                </c:pt>
                <c:pt idx="15">
                  <c:v>436950</c:v>
                </c:pt>
                <c:pt idx="16">
                  <c:v>451639</c:v>
                </c:pt>
                <c:pt idx="17">
                  <c:v>645110</c:v>
                </c:pt>
                <c:pt idx="18">
                  <c:v>650848</c:v>
                </c:pt>
                <c:pt idx="19">
                  <c:v>884626</c:v>
                </c:pt>
                <c:pt idx="20">
                  <c:v>954866</c:v>
                </c:pt>
                <c:pt idx="21">
                  <c:v>1257369</c:v>
                </c:pt>
                <c:pt idx="22">
                  <c:v>1400931</c:v>
                </c:pt>
                <c:pt idx="23">
                  <c:v>1781754</c:v>
                </c:pt>
                <c:pt idx="24">
                  <c:v>2010691</c:v>
                </c:pt>
                <c:pt idx="25">
                  <c:v>2484409</c:v>
                </c:pt>
                <c:pt idx="26">
                  <c:v>2812634</c:v>
                </c:pt>
                <c:pt idx="27">
                  <c:v>3392570</c:v>
                </c:pt>
                <c:pt idx="28">
                  <c:v>3834522</c:v>
                </c:pt>
                <c:pt idx="29">
                  <c:v>4536317</c:v>
                </c:pt>
                <c:pt idx="30">
                  <c:v>5108932</c:v>
                </c:pt>
                <c:pt idx="31">
                  <c:v>5950920</c:v>
                </c:pt>
                <c:pt idx="32">
                  <c:v>6674039</c:v>
                </c:pt>
                <c:pt idx="33">
                  <c:v>7676988</c:v>
                </c:pt>
                <c:pt idx="34">
                  <c:v>8570342</c:v>
                </c:pt>
                <c:pt idx="35">
                  <c:v>9754477</c:v>
                </c:pt>
              </c:numCache>
            </c:numRef>
          </c:val>
          <c:smooth val="1"/>
        </c:ser>
        <c:hiLowLines>
          <c:spPr>
            <a:ln w="0">
              <a:noFill/>
            </a:ln>
          </c:spPr>
        </c:hiLowLines>
        <c:marker val="0"/>
        <c:axId val="7272738"/>
        <c:axId val="11775835"/>
      </c:lineChart>
      <c:catAx>
        <c:axId val="7272738"/>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1775835"/>
        <c:crosses val="autoZero"/>
        <c:auto val="1"/>
        <c:lblAlgn val="ctr"/>
        <c:lblOffset val="100"/>
        <c:noMultiLvlLbl val="0"/>
      </c:catAx>
      <c:valAx>
        <c:axId val="11775835"/>
        <c:scaling>
          <c:orientation val="minMax"/>
        </c:scaling>
        <c:delete val="0"/>
        <c:axPos val="l"/>
        <c:majorGridlines>
          <c:spPr>
            <a:ln w="9360">
              <a:solidFill>
                <a:srgbClr val="878787"/>
              </a:solidFill>
              <a:round/>
            </a:ln>
          </c:spPr>
        </c:majorGridlines>
        <c:numFmt formatCode="#,##0;[RED]\(#,##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272738"/>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Revenue mix M36 run-rate (%, indicative)</a:t>
            </a:r>
          </a:p>
        </c:rich>
      </c:tx>
      <c:overlay val="0"/>
      <c:spPr>
        <a:noFill/>
        <a:ln w="0">
          <a:noFill/>
        </a:ln>
      </c:spPr>
    </c:title>
    <c:autoTitleDeleted val="0"/>
    <c:plotArea>
      <c:barChart>
        <c:barDir val="bar"/>
        <c:grouping val="clustered"/>
        <c:varyColors val="0"/>
        <c:ser>
          <c:idx val="0"/>
          <c:order val="0"/>
          <c:spPr>
            <a:solidFill>
              <a:srgbClr val="1f6fb0"/>
            </a:solidFill>
            <a:ln w="936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02_Executive_Dashboard!$P$110:$P$114</c:f>
              <c:strCache>
                <c:ptCount val="5"/>
                <c:pt idx="0">
                  <c:v>DTC subscription</c:v>
                </c:pt>
                <c:pt idx="1">
                  <c:v>DTC one-off</c:v>
                </c:pt>
                <c:pt idx="2">
                  <c:v>Outlets &amp; venues</c:v>
                </c:pt>
                <c:pt idx="3">
                  <c:v>Grocery</c:v>
                </c:pt>
                <c:pt idx="4">
                  <c:v>1 L all channels</c:v>
                </c:pt>
              </c:strCache>
            </c:strRef>
          </c:cat>
          <c:val>
            <c:numRef>
              <c:f>02_Executive_Dashboard!$Q$110:$Q$114</c:f>
              <c:numCache>
                <c:formatCode>General</c:formatCode>
                <c:ptCount val="5"/>
                <c:pt idx="0">
                  <c:v>34</c:v>
                </c:pt>
                <c:pt idx="1">
                  <c:v>18</c:v>
                </c:pt>
                <c:pt idx="2">
                  <c:v>26</c:v>
                </c:pt>
                <c:pt idx="3">
                  <c:v>17</c:v>
                </c:pt>
                <c:pt idx="4">
                  <c:v>5</c:v>
                </c:pt>
              </c:numCache>
            </c:numRef>
          </c:val>
        </c:ser>
        <c:gapWidth val="150"/>
        <c:overlap val="0"/>
        <c:axId val="78239445"/>
        <c:axId val="23471980"/>
      </c:barChart>
      <c:catAx>
        <c:axId val="78239445"/>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23471980"/>
        <c:crosses val="autoZero"/>
        <c:auto val="1"/>
        <c:lblAlgn val="ctr"/>
        <c:lblOffset val="100"/>
        <c:noMultiLvlLbl val="0"/>
      </c:catAx>
      <c:valAx>
        <c:axId val="23471980"/>
        <c:scaling>
          <c:orientation val="minMax"/>
        </c:scaling>
        <c:delete val="0"/>
        <c:axPos val="l"/>
        <c:majorGridlines>
          <c:spPr>
            <a:ln w="9360">
              <a:solidFill>
                <a:srgbClr val="878787"/>
              </a:solidFill>
              <a:round/>
            </a:ln>
          </c:spPr>
        </c:majorGridlines>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8239445"/>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EBITDA FY2029 by scenario (NOK)</a:t>
            </a:r>
          </a:p>
        </c:rich>
      </c:tx>
      <c:overlay val="0"/>
      <c:spPr>
        <a:noFill/>
        <a:ln w="0">
          <a:noFill/>
        </a:ln>
      </c:spPr>
    </c:title>
    <c:autoTitleDeleted val="0"/>
    <c:plotArea>
      <c:barChart>
        <c:barDir val="col"/>
        <c:grouping val="clustered"/>
        <c:varyColors val="0"/>
        <c:ser>
          <c:idx val="0"/>
          <c:order val="0"/>
          <c:spPr>
            <a:solidFill>
              <a:srgbClr val="1f6fb0"/>
            </a:solidFill>
            <a:ln w="936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02_Executive_Dashboard!$P$118:$P$120</c:f>
              <c:strCache>
                <c:ptCount val="3"/>
                <c:pt idx="0">
                  <c:v>Downside</c:v>
                </c:pt>
                <c:pt idx="1">
                  <c:v>Base</c:v>
                </c:pt>
                <c:pt idx="2">
                  <c:v>Upside</c:v>
                </c:pt>
              </c:strCache>
            </c:strRef>
          </c:cat>
          <c:val>
            <c:numRef>
              <c:f>02_Executive_Dashboard!$Q$118:$Q$120</c:f>
              <c:numCache>
                <c:formatCode>General</c:formatCode>
                <c:ptCount val="3"/>
                <c:pt idx="0">
                  <c:v>6899838</c:v>
                </c:pt>
                <c:pt idx="1">
                  <c:v>11735288</c:v>
                </c:pt>
                <c:pt idx="2">
                  <c:v>16855835</c:v>
                </c:pt>
              </c:numCache>
            </c:numRef>
          </c:val>
        </c:ser>
        <c:gapWidth val="150"/>
        <c:overlap val="0"/>
        <c:axId val="74786282"/>
        <c:axId val="53760462"/>
      </c:barChart>
      <c:catAx>
        <c:axId val="74786282"/>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3760462"/>
        <c:crosses val="autoZero"/>
        <c:auto val="1"/>
        <c:lblAlgn val="ctr"/>
        <c:lblOffset val="100"/>
        <c:noMultiLvlLbl val="0"/>
      </c:catAx>
      <c:valAx>
        <c:axId val="53760462"/>
        <c:scaling>
          <c:orientation val="minMax"/>
        </c:scaling>
        <c:delete val="0"/>
        <c:axPos val="l"/>
        <c:majorGridlines>
          <c:spPr>
            <a:ln w="9360">
              <a:solidFill>
                <a:srgbClr val="878787"/>
              </a:solidFill>
              <a:round/>
            </a:ln>
          </c:spPr>
        </c:majorGridlines>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4786282"/>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Use of funds (kNOK)</a:t>
            </a:r>
          </a:p>
        </c:rich>
      </c:tx>
      <c:overlay val="0"/>
      <c:spPr>
        <a:noFill/>
        <a:ln w="0">
          <a:noFill/>
        </a:ln>
      </c:spPr>
    </c:title>
    <c:autoTitleDeleted val="0"/>
    <c:plotArea>
      <c:barChart>
        <c:barDir val="bar"/>
        <c:grouping val="clustered"/>
        <c:varyColors val="0"/>
        <c:ser>
          <c:idx val="0"/>
          <c:order val="0"/>
          <c:spPr>
            <a:solidFill>
              <a:srgbClr val="1f6fb0"/>
            </a:solidFill>
            <a:ln w="936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22_Funding_Use_of_Funds!$B$9:$B$21</c:f>
              <c:strCache>
                <c:ptCount val="13"/>
                <c:pt idx="0">
                  <c:v>Company formation &amp; IP</c:v>
                </c:pt>
                <c:pt idx="1">
                  <c:v>Legal &amp; regulatory</c:v>
                </c:pt>
                <c:pt idx="2">
                  <c:v>Packaging design &amp; print tooling</c:v>
                </c:pt>
                <c:pt idx="3">
                  <c:v>Initial inventory (FOB)</c:v>
                </c:pt>
                <c:pt idx="4">
                  <c:v>Freight, customs &amp; clearing</c:v>
                </c:pt>
                <c:pt idx="5">
                  <c:v>3PL setup &amp; deposits</c:v>
                </c:pt>
                <c:pt idx="6">
                  <c:v>E-commerce infrastructure</c:v>
                </c:pt>
                <c:pt idx="7">
                  <c:v>Launch marketing</c:v>
                </c:pt>
                <c:pt idx="8">
                  <c:v>Trade activation &amp; sampling</c:v>
                </c:pt>
                <c:pt idx="9">
                  <c:v>Personnel (first 6 months)</c:v>
                </c:pt>
                <c:pt idx="10">
                  <c:v>Working-capital reserve (containers 2-4)</c:v>
                </c:pt>
                <c:pt idx="11">
                  <c:v>Contingency</c:v>
                </c:pt>
                <c:pt idx="12">
                  <c:v>Fixed-asset capex</c:v>
                </c:pt>
              </c:strCache>
            </c:strRef>
          </c:cat>
          <c:val>
            <c:numRef>
              <c:f>22_Funding_Use_of_Funds!$C$9:$C$21</c:f>
              <c:numCache>
                <c:formatCode>#,##0;[RED]\(#,##0\);\–</c:formatCode>
                <c:ptCount val="13"/>
                <c:pt idx="0">
                  <c:v>45</c:v>
                </c:pt>
                <c:pt idx="1">
                  <c:v>45</c:v>
                </c:pt>
                <c:pt idx="2">
                  <c:v>85</c:v>
                </c:pt>
                <c:pt idx="3">
                  <c:v>140</c:v>
                </c:pt>
                <c:pt idx="4">
                  <c:v>55</c:v>
                </c:pt>
                <c:pt idx="5">
                  <c:v>20</c:v>
                </c:pt>
                <c:pt idx="6">
                  <c:v>30</c:v>
                </c:pt>
                <c:pt idx="7">
                  <c:v>180</c:v>
                </c:pt>
                <c:pt idx="8">
                  <c:v>60</c:v>
                </c:pt>
                <c:pt idx="9">
                  <c:v>160</c:v>
                </c:pt>
                <c:pt idx="10">
                  <c:v>900</c:v>
                </c:pt>
                <c:pt idx="11">
                  <c:v>280</c:v>
                </c:pt>
                <c:pt idx="12">
                  <c:v>0</c:v>
                </c:pt>
              </c:numCache>
            </c:numRef>
          </c:val>
        </c:ser>
        <c:gapWidth val="150"/>
        <c:overlap val="0"/>
        <c:axId val="78971790"/>
        <c:axId val="73661925"/>
      </c:barChart>
      <c:catAx>
        <c:axId val="78971790"/>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3661925"/>
        <c:crosses val="autoZero"/>
        <c:auto val="1"/>
        <c:lblAlgn val="ctr"/>
        <c:lblOffset val="100"/>
        <c:noMultiLvlLbl val="0"/>
      </c:catAx>
      <c:valAx>
        <c:axId val="73661925"/>
        <c:scaling>
          <c:orientation val="minMax"/>
        </c:scaling>
        <c:delete val="0"/>
        <c:axPos val="l"/>
        <c:majorGridlines>
          <c:spPr>
            <a:ln w="9360">
              <a:solidFill>
                <a:srgbClr val="878787"/>
              </a:solidFill>
              <a:round/>
            </a:ln>
          </c:spPr>
        </c:majorGridlines>
        <c:numFmt formatCode="#,##0;[RED]\(#,##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8971790"/>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DTC 330 ml — price to contribution (NOK)</a:t>
            </a:r>
          </a:p>
        </c:rich>
      </c:tx>
      <c:overlay val="0"/>
      <c:spPr>
        <a:noFill/>
        <a:ln w="0">
          <a:noFill/>
        </a:ln>
      </c:spPr>
    </c:title>
    <c:autoTitleDeleted val="0"/>
    <c:plotArea>
      <c:barChart>
        <c:barDir val="col"/>
        <c:grouping val="clustered"/>
        <c:varyColors val="0"/>
        <c:ser>
          <c:idx val="0"/>
          <c:order val="0"/>
          <c:spPr>
            <a:solidFill>
              <a:srgbClr val="1f6fb0"/>
            </a:solidFill>
            <a:ln w="936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09_Unit_Economics!$B$24:$B$29</c:f>
              <c:strCache>
                <c:ptCount val="6"/>
                <c:pt idx="0">
                  <c:v>Net price</c:v>
                </c:pt>
                <c:pt idx="1">
                  <c:v>COGS</c:v>
                </c:pt>
                <c:pt idx="2">
                  <c:v>Fulfilment</c:v>
                </c:pt>
                <c:pt idx="3">
                  <c:v>Payment</c:v>
                </c:pt>
                <c:pt idx="4">
                  <c:v>Returns</c:v>
                </c:pt>
                <c:pt idx="5">
                  <c:v>Contribution</c:v>
                </c:pt>
              </c:strCache>
            </c:strRef>
          </c:cat>
          <c:val>
            <c:numRef>
              <c:f>09_Unit_Economics!$C$24:$C$29</c:f>
              <c:numCache>
                <c:formatCode>#,##0.00;[RED]\(#,##0.00\);\–</c:formatCode>
                <c:ptCount val="6"/>
                <c:pt idx="0">
                  <c:v>25.29</c:v>
                </c:pt>
                <c:pt idx="1">
                  <c:v>-8.5</c:v>
                </c:pt>
                <c:pt idx="2">
                  <c:v>-4</c:v>
                </c:pt>
                <c:pt idx="3">
                  <c:v>-0.51</c:v>
                </c:pt>
                <c:pt idx="4">
                  <c:v>-0.25</c:v>
                </c:pt>
                <c:pt idx="5">
                  <c:v>12.03</c:v>
                </c:pt>
              </c:numCache>
            </c:numRef>
          </c:val>
        </c:ser>
        <c:gapWidth val="150"/>
        <c:overlap val="0"/>
        <c:axId val="22290489"/>
        <c:axId val="1167107"/>
      </c:barChart>
      <c:catAx>
        <c:axId val="22290489"/>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167107"/>
        <c:crosses val="autoZero"/>
        <c:auto val="1"/>
        <c:lblAlgn val="ctr"/>
        <c:lblOffset val="100"/>
        <c:noMultiLvlLbl val="0"/>
      </c:catAx>
      <c:valAx>
        <c:axId val="1167107"/>
        <c:scaling>
          <c:orientation val="minMax"/>
        </c:scaling>
        <c:delete val="0"/>
        <c:axPos val="l"/>
        <c:majorGridlines>
          <c:spPr>
            <a:ln w="9360">
              <a:solidFill>
                <a:srgbClr val="878787"/>
              </a:solidFill>
              <a:round/>
            </a:ln>
          </c:spPr>
        </c:majorGridlines>
        <c:numFmt formatCode="#,##0.00;[RED]\(#,##0.0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22290489"/>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Channel build M1–M36</a:t>
            </a:r>
          </a:p>
        </c:rich>
      </c:tx>
      <c:overlay val="0"/>
      <c:spPr>
        <a:noFill/>
        <a:ln w="0">
          <a:noFill/>
        </a:ln>
      </c:spPr>
    </c:title>
    <c:autoTitleDeleted val="0"/>
    <c:plotArea>
      <c:lineChart>
        <c:grouping val="standard"/>
        <c:varyColors val="0"/>
        <c:ser>
          <c:idx val="0"/>
          <c:order val="0"/>
          <c:tx>
            <c:strRef>
              <c:f>11_Channel_Rollout!C8</c:f>
              <c:strCache>
                <c:ptCount val="1"/>
                <c:pt idx="0">
                  <c:v>Subscribers</c:v>
                </c:pt>
              </c:strCache>
            </c:strRef>
          </c:tx>
          <c:spPr>
            <a:solidFill>
              <a:srgbClr val="1f6fb0"/>
            </a:solidFill>
            <a:ln w="21960">
              <a:solidFill>
                <a:srgbClr val="1f6fb0"/>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11_Channel_Rollout!$C$9:$C$44</c:f>
              <c:numCache>
                <c:formatCode>#,##0;[RED]\(#,##0\);\–</c:formatCode>
                <c:ptCount val="36"/>
                <c:pt idx="0">
                  <c:v>0</c:v>
                </c:pt>
                <c:pt idx="1">
                  <c:v>0</c:v>
                </c:pt>
                <c:pt idx="2">
                  <c:v>0</c:v>
                </c:pt>
                <c:pt idx="3">
                  <c:v>70</c:v>
                </c:pt>
                <c:pt idx="4">
                  <c:v>141</c:v>
                </c:pt>
                <c:pt idx="5">
                  <c:v>215</c:v>
                </c:pt>
                <c:pt idx="6">
                  <c:v>290</c:v>
                </c:pt>
                <c:pt idx="7">
                  <c:v>368</c:v>
                </c:pt>
                <c:pt idx="8">
                  <c:v>449</c:v>
                </c:pt>
                <c:pt idx="9">
                  <c:v>533</c:v>
                </c:pt>
                <c:pt idx="10">
                  <c:v>621</c:v>
                </c:pt>
                <c:pt idx="11">
                  <c:v>713</c:v>
                </c:pt>
                <c:pt idx="12">
                  <c:v>810</c:v>
                </c:pt>
                <c:pt idx="13">
                  <c:v>913</c:v>
                </c:pt>
                <c:pt idx="14">
                  <c:v>1021</c:v>
                </c:pt>
                <c:pt idx="15">
                  <c:v>1136</c:v>
                </c:pt>
                <c:pt idx="16">
                  <c:v>1258</c:v>
                </c:pt>
                <c:pt idx="17">
                  <c:v>1388</c:v>
                </c:pt>
                <c:pt idx="18">
                  <c:v>1527</c:v>
                </c:pt>
                <c:pt idx="19">
                  <c:v>1675</c:v>
                </c:pt>
                <c:pt idx="20">
                  <c:v>1834</c:v>
                </c:pt>
                <c:pt idx="21">
                  <c:v>2004</c:v>
                </c:pt>
                <c:pt idx="22">
                  <c:v>2185</c:v>
                </c:pt>
                <c:pt idx="23">
                  <c:v>2381</c:v>
                </c:pt>
                <c:pt idx="24">
                  <c:v>2590</c:v>
                </c:pt>
                <c:pt idx="25">
                  <c:v>2815</c:v>
                </c:pt>
                <c:pt idx="26">
                  <c:v>3057</c:v>
                </c:pt>
                <c:pt idx="27">
                  <c:v>3318</c:v>
                </c:pt>
                <c:pt idx="28">
                  <c:v>3598</c:v>
                </c:pt>
                <c:pt idx="29">
                  <c:v>3900</c:v>
                </c:pt>
                <c:pt idx="30">
                  <c:v>4225</c:v>
                </c:pt>
                <c:pt idx="31">
                  <c:v>4576</c:v>
                </c:pt>
                <c:pt idx="32">
                  <c:v>4953</c:v>
                </c:pt>
                <c:pt idx="33">
                  <c:v>5360</c:v>
                </c:pt>
                <c:pt idx="34">
                  <c:v>5800</c:v>
                </c:pt>
                <c:pt idx="35">
                  <c:v>6273</c:v>
                </c:pt>
              </c:numCache>
            </c:numRef>
          </c:val>
          <c:smooth val="1"/>
        </c:ser>
        <c:ser>
          <c:idx val="1"/>
          <c:order val="1"/>
          <c:tx>
            <c:strRef>
              <c:f>11_Channel_Rollout!D8</c:f>
              <c:strCache>
                <c:ptCount val="1"/>
                <c:pt idx="0">
                  <c:v>Outlets</c:v>
                </c:pt>
              </c:strCache>
            </c:strRef>
          </c:tx>
          <c:spPr>
            <a:solidFill>
              <a:srgbClr val="a96e24"/>
            </a:solidFill>
            <a:ln w="21960">
              <a:solidFill>
                <a:srgbClr val="a96e24"/>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11_Channel_Rollout!$D$9:$D$44</c:f>
              <c:numCache>
                <c:formatCode>#,##0;[RED]\(#,##0\);\–</c:formatCode>
                <c:ptCount val="36"/>
                <c:pt idx="0">
                  <c:v>0</c:v>
                </c:pt>
                <c:pt idx="1">
                  <c:v>0</c:v>
                </c:pt>
                <c:pt idx="2">
                  <c:v>0</c:v>
                </c:pt>
                <c:pt idx="3">
                  <c:v>0</c:v>
                </c:pt>
                <c:pt idx="4">
                  <c:v>8</c:v>
                </c:pt>
                <c:pt idx="5">
                  <c:v>15</c:v>
                </c:pt>
                <c:pt idx="6">
                  <c:v>22</c:v>
                </c:pt>
                <c:pt idx="7">
                  <c:v>29</c:v>
                </c:pt>
                <c:pt idx="8">
                  <c:v>36</c:v>
                </c:pt>
                <c:pt idx="9">
                  <c:v>43</c:v>
                </c:pt>
                <c:pt idx="10">
                  <c:v>50</c:v>
                </c:pt>
                <c:pt idx="11">
                  <c:v>57</c:v>
                </c:pt>
                <c:pt idx="12">
                  <c:v>65</c:v>
                </c:pt>
                <c:pt idx="13">
                  <c:v>70</c:v>
                </c:pt>
                <c:pt idx="14">
                  <c:v>75</c:v>
                </c:pt>
                <c:pt idx="15">
                  <c:v>80</c:v>
                </c:pt>
                <c:pt idx="16">
                  <c:v>85</c:v>
                </c:pt>
                <c:pt idx="17">
                  <c:v>90</c:v>
                </c:pt>
                <c:pt idx="18">
                  <c:v>95</c:v>
                </c:pt>
                <c:pt idx="19">
                  <c:v>100</c:v>
                </c:pt>
                <c:pt idx="20">
                  <c:v>105</c:v>
                </c:pt>
                <c:pt idx="21">
                  <c:v>110</c:v>
                </c:pt>
                <c:pt idx="22">
                  <c:v>115</c:v>
                </c:pt>
                <c:pt idx="23">
                  <c:v>120</c:v>
                </c:pt>
                <c:pt idx="24">
                  <c:v>125</c:v>
                </c:pt>
                <c:pt idx="25">
                  <c:v>130</c:v>
                </c:pt>
                <c:pt idx="26">
                  <c:v>135</c:v>
                </c:pt>
                <c:pt idx="27">
                  <c:v>140</c:v>
                </c:pt>
                <c:pt idx="28">
                  <c:v>145</c:v>
                </c:pt>
                <c:pt idx="29">
                  <c:v>150</c:v>
                </c:pt>
                <c:pt idx="30">
                  <c:v>155</c:v>
                </c:pt>
                <c:pt idx="31">
                  <c:v>160</c:v>
                </c:pt>
                <c:pt idx="32">
                  <c:v>165</c:v>
                </c:pt>
                <c:pt idx="33">
                  <c:v>170</c:v>
                </c:pt>
                <c:pt idx="34">
                  <c:v>175</c:v>
                </c:pt>
                <c:pt idx="35">
                  <c:v>180</c:v>
                </c:pt>
              </c:numCache>
            </c:numRef>
          </c:val>
          <c:smooth val="1"/>
        </c:ser>
        <c:ser>
          <c:idx val="2"/>
          <c:order val="2"/>
          <c:tx>
            <c:strRef>
              <c:f>11_Channel_Rollout!E8</c:f>
              <c:strCache>
                <c:ptCount val="1"/>
                <c:pt idx="0">
                  <c:v>Stores</c:v>
                </c:pt>
              </c:strCache>
            </c:strRef>
          </c:tx>
          <c:spPr>
            <a:solidFill>
              <a:srgbClr val="3d6a91"/>
            </a:solidFill>
            <a:ln w="21960">
              <a:solidFill>
                <a:srgbClr val="3d6a91"/>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11_Channel_Rollout!$E$9:$E$44</c:f>
              <c:numCache>
                <c:formatCode>#,##0;[RED]\(#,##0\);\–</c:formatCode>
                <c:ptCount val="36"/>
                <c:pt idx="0">
                  <c:v>0</c:v>
                </c:pt>
                <c:pt idx="1">
                  <c:v>0</c:v>
                </c:pt>
                <c:pt idx="2">
                  <c:v>0</c:v>
                </c:pt>
                <c:pt idx="3">
                  <c:v>0</c:v>
                </c:pt>
                <c:pt idx="4">
                  <c:v>0</c:v>
                </c:pt>
                <c:pt idx="5">
                  <c:v>0</c:v>
                </c:pt>
                <c:pt idx="6">
                  <c:v>0</c:v>
                </c:pt>
                <c:pt idx="7">
                  <c:v>0</c:v>
                </c:pt>
                <c:pt idx="8">
                  <c:v>0</c:v>
                </c:pt>
                <c:pt idx="9">
                  <c:v>0</c:v>
                </c:pt>
                <c:pt idx="10">
                  <c:v>0</c:v>
                </c:pt>
                <c:pt idx="11">
                  <c:v>0</c:v>
                </c:pt>
                <c:pt idx="12">
                  <c:v>40</c:v>
                </c:pt>
                <c:pt idx="13">
                  <c:v>65</c:v>
                </c:pt>
                <c:pt idx="14">
                  <c:v>90</c:v>
                </c:pt>
                <c:pt idx="15">
                  <c:v>115</c:v>
                </c:pt>
                <c:pt idx="16">
                  <c:v>140</c:v>
                </c:pt>
                <c:pt idx="17">
                  <c:v>165</c:v>
                </c:pt>
                <c:pt idx="18">
                  <c:v>190</c:v>
                </c:pt>
                <c:pt idx="19">
                  <c:v>215</c:v>
                </c:pt>
                <c:pt idx="20">
                  <c:v>240</c:v>
                </c:pt>
                <c:pt idx="21">
                  <c:v>265</c:v>
                </c:pt>
                <c:pt idx="22">
                  <c:v>290</c:v>
                </c:pt>
                <c:pt idx="23">
                  <c:v>315</c:v>
                </c:pt>
                <c:pt idx="24">
                  <c:v>375</c:v>
                </c:pt>
                <c:pt idx="25">
                  <c:v>435</c:v>
                </c:pt>
                <c:pt idx="26">
                  <c:v>495</c:v>
                </c:pt>
                <c:pt idx="27">
                  <c:v>555</c:v>
                </c:pt>
                <c:pt idx="28">
                  <c:v>615</c:v>
                </c:pt>
                <c:pt idx="29">
                  <c:v>675</c:v>
                </c:pt>
                <c:pt idx="30">
                  <c:v>735</c:v>
                </c:pt>
                <c:pt idx="31">
                  <c:v>795</c:v>
                </c:pt>
                <c:pt idx="32">
                  <c:v>855</c:v>
                </c:pt>
                <c:pt idx="33">
                  <c:v>900</c:v>
                </c:pt>
                <c:pt idx="34">
                  <c:v>900</c:v>
                </c:pt>
                <c:pt idx="35">
                  <c:v>900</c:v>
                </c:pt>
              </c:numCache>
            </c:numRef>
          </c:val>
          <c:smooth val="1"/>
        </c:ser>
        <c:hiLowLines>
          <c:spPr>
            <a:ln w="0">
              <a:noFill/>
            </a:ln>
          </c:spPr>
        </c:hiLowLines>
        <c:marker val="0"/>
        <c:axId val="59650916"/>
        <c:axId val="18944123"/>
      </c:lineChart>
      <c:catAx>
        <c:axId val="59650916"/>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8944123"/>
        <c:crosses val="autoZero"/>
        <c:auto val="1"/>
        <c:lblAlgn val="ctr"/>
        <c:lblOffset val="100"/>
        <c:noMultiLvlLbl val="0"/>
      </c:catAx>
      <c:valAx>
        <c:axId val="18944123"/>
        <c:scaling>
          <c:orientation val="minMax"/>
        </c:scaling>
        <c:delete val="0"/>
        <c:axPos val="l"/>
        <c:majorGridlines>
          <c:spPr>
            <a:ln w="9360">
              <a:solidFill>
                <a:srgbClr val="878787"/>
              </a:solidFill>
              <a:round/>
            </a:ln>
          </c:spPr>
        </c:majorGridlines>
        <c:numFmt formatCode="#,##0;[RED]\(#,##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965091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Use of funds (kNOK)</a:t>
            </a:r>
          </a:p>
        </c:rich>
      </c:tx>
      <c:overlay val="0"/>
      <c:spPr>
        <a:noFill/>
        <a:ln w="0">
          <a:noFill/>
        </a:ln>
      </c:spPr>
    </c:title>
    <c:autoTitleDeleted val="0"/>
    <c:plotArea>
      <c:barChart>
        <c:barDir val="bar"/>
        <c:grouping val="clustered"/>
        <c:varyColors val="0"/>
        <c:ser>
          <c:idx val="0"/>
          <c:order val="0"/>
          <c:spPr>
            <a:solidFill>
              <a:srgbClr val="1f6fb0"/>
            </a:solidFill>
            <a:ln w="936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22_Funding_Use_of_Funds!$B$9:$B$21</c:f>
              <c:strCache>
                <c:ptCount val="13"/>
                <c:pt idx="0">
                  <c:v>Company formation &amp; IP</c:v>
                </c:pt>
                <c:pt idx="1">
                  <c:v>Legal &amp; regulatory</c:v>
                </c:pt>
                <c:pt idx="2">
                  <c:v>Packaging design &amp; print tooling</c:v>
                </c:pt>
                <c:pt idx="3">
                  <c:v>Initial inventory (FOB)</c:v>
                </c:pt>
                <c:pt idx="4">
                  <c:v>Freight, customs &amp; clearing</c:v>
                </c:pt>
                <c:pt idx="5">
                  <c:v>3PL setup &amp; deposits</c:v>
                </c:pt>
                <c:pt idx="6">
                  <c:v>E-commerce infrastructure</c:v>
                </c:pt>
                <c:pt idx="7">
                  <c:v>Launch marketing</c:v>
                </c:pt>
                <c:pt idx="8">
                  <c:v>Trade activation &amp; sampling</c:v>
                </c:pt>
                <c:pt idx="9">
                  <c:v>Personnel (first 6 months)</c:v>
                </c:pt>
                <c:pt idx="10">
                  <c:v>Working-capital reserve (containers 2-4)</c:v>
                </c:pt>
                <c:pt idx="11">
                  <c:v>Contingency</c:v>
                </c:pt>
                <c:pt idx="12">
                  <c:v>Fixed-asset capex</c:v>
                </c:pt>
              </c:strCache>
            </c:strRef>
          </c:cat>
          <c:val>
            <c:numRef>
              <c:f>22_Funding_Use_of_Funds!$C$9:$C$21</c:f>
              <c:numCache>
                <c:formatCode>#,##0;[RED]\(#,##0\);\–</c:formatCode>
                <c:ptCount val="13"/>
                <c:pt idx="0">
                  <c:v>45</c:v>
                </c:pt>
                <c:pt idx="1">
                  <c:v>45</c:v>
                </c:pt>
                <c:pt idx="2">
                  <c:v>85</c:v>
                </c:pt>
                <c:pt idx="3">
                  <c:v>140</c:v>
                </c:pt>
                <c:pt idx="4">
                  <c:v>55</c:v>
                </c:pt>
                <c:pt idx="5">
                  <c:v>20</c:v>
                </c:pt>
                <c:pt idx="6">
                  <c:v>30</c:v>
                </c:pt>
                <c:pt idx="7">
                  <c:v>180</c:v>
                </c:pt>
                <c:pt idx="8">
                  <c:v>60</c:v>
                </c:pt>
                <c:pt idx="9">
                  <c:v>160</c:v>
                </c:pt>
                <c:pt idx="10">
                  <c:v>900</c:v>
                </c:pt>
                <c:pt idx="11">
                  <c:v>280</c:v>
                </c:pt>
                <c:pt idx="12">
                  <c:v>0</c:v>
                </c:pt>
              </c:numCache>
            </c:numRef>
          </c:val>
        </c:ser>
        <c:gapWidth val="150"/>
        <c:overlap val="0"/>
        <c:axId val="76281653"/>
        <c:axId val="36265510"/>
      </c:barChart>
      <c:catAx>
        <c:axId val="76281653"/>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36265510"/>
        <c:crosses val="autoZero"/>
        <c:auto val="1"/>
        <c:lblAlgn val="ctr"/>
        <c:lblOffset val="100"/>
        <c:noMultiLvlLbl val="0"/>
      </c:catAx>
      <c:valAx>
        <c:axId val="36265510"/>
        <c:scaling>
          <c:orientation val="minMax"/>
        </c:scaling>
        <c:delete val="0"/>
        <c:axPos val="l"/>
        <c:majorGridlines>
          <c:spPr>
            <a:ln w="9360">
              <a:solidFill>
                <a:srgbClr val="878787"/>
              </a:solidFill>
              <a:round/>
            </a:ln>
          </c:spPr>
        </c:majorGridlines>
        <c:numFmt formatCode="#,##0;[RED]\(#,##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6281653"/>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10.xml.rels><?xml version="1.0" encoding="UTF-8"?>
<Relationships xmlns="http://schemas.openxmlformats.org/package/2006/relationships"><Relationship Id="rId1" Type="http://schemas.openxmlformats.org/officeDocument/2006/relationships/image" Target="../media/image3.png"/>
</Relationships>
</file>

<file path=xl/drawings/_rels/drawing11.xml.rels><?xml version="1.0" encoding="UTF-8"?>
<Relationships xmlns="http://schemas.openxmlformats.org/package/2006/relationships"><Relationship Id="rId1" Type="http://schemas.openxmlformats.org/officeDocument/2006/relationships/chart" Target="../charts/chart7.xml"/><Relationship Id="rId2" Type="http://schemas.openxmlformats.org/officeDocument/2006/relationships/image" Target="../media/image3.png"/>
</Relationships>
</file>

<file path=xl/drawings/_rels/drawing12.xml.rels><?xml version="1.0" encoding="UTF-8"?>
<Relationships xmlns="http://schemas.openxmlformats.org/package/2006/relationships"><Relationship Id="rId1" Type="http://schemas.openxmlformats.org/officeDocument/2006/relationships/image" Target="../media/image3.png"/>
</Relationships>
</file>

<file path=xl/drawings/_rels/drawing13.xml.rels><?xml version="1.0" encoding="UTF-8"?>
<Relationships xmlns="http://schemas.openxmlformats.org/package/2006/relationships"><Relationship Id="rId1" Type="http://schemas.openxmlformats.org/officeDocument/2006/relationships/chart" Target="../charts/chart8.xml"/><Relationship Id="rId2" Type="http://schemas.openxmlformats.org/officeDocument/2006/relationships/image" Target="../media/image3.png"/>
</Relationships>
</file>

<file path=xl/drawings/_rels/drawing14.xml.rels><?xml version="1.0" encoding="UTF-8"?>
<Relationships xmlns="http://schemas.openxmlformats.org/package/2006/relationships"><Relationship Id="rId1" Type="http://schemas.openxmlformats.org/officeDocument/2006/relationships/image" Target="../media/image3.png"/>
</Relationships>
</file>

<file path=xl/drawings/_rels/drawing15.xml.rels><?xml version="1.0" encoding="UTF-8"?>
<Relationships xmlns="http://schemas.openxmlformats.org/package/2006/relationships"><Relationship Id="rId1" Type="http://schemas.openxmlformats.org/officeDocument/2006/relationships/image" Target="../media/image3.png"/>
</Relationships>
</file>

<file path=xl/drawings/_rels/drawing16.xml.rels><?xml version="1.0" encoding="UTF-8"?>
<Relationships xmlns="http://schemas.openxmlformats.org/package/2006/relationships"><Relationship Id="rId1" Type="http://schemas.openxmlformats.org/officeDocument/2006/relationships/image" Target="../media/image3.png"/>
</Relationships>
</file>

<file path=xl/drawings/_rels/drawing17.xml.rels><?xml version="1.0" encoding="UTF-8"?>
<Relationships xmlns="http://schemas.openxmlformats.org/package/2006/relationships"><Relationship Id="rId1" Type="http://schemas.openxmlformats.org/officeDocument/2006/relationships/image" Target="../media/image3.png"/>
</Relationships>
</file>

<file path=xl/drawings/_rels/drawing18.xml.rels><?xml version="1.0" encoding="UTF-8"?>
<Relationships xmlns="http://schemas.openxmlformats.org/package/2006/relationships"><Relationship Id="rId1" Type="http://schemas.openxmlformats.org/officeDocument/2006/relationships/image" Target="../media/image3.png"/>
</Relationships>
</file>

<file path=xl/drawings/_rels/drawing19.xml.rels><?xml version="1.0" encoding="UTF-8"?>
<Relationships xmlns="http://schemas.openxmlformats.org/package/2006/relationships"><Relationship Id="rId1" Type="http://schemas.openxmlformats.org/officeDocument/2006/relationships/image" Target="../media/image3.png"/>
</Relationships>
</file>

<file path=xl/drawings/_rels/drawing2.xml.rels><?xml version="1.0" encoding="UTF-8"?>
<Relationships xmlns="http://schemas.openxmlformats.org/package/2006/relationships"><Relationship Id="rId1" Type="http://schemas.openxmlformats.org/officeDocument/2006/relationships/image" Target="../media/image3.png"/>
</Relationships>
</file>

<file path=xl/drawings/_rels/drawing20.xml.rels><?xml version="1.0" encoding="UTF-8"?>
<Relationships xmlns="http://schemas.openxmlformats.org/package/2006/relationships"><Relationship Id="rId1" Type="http://schemas.openxmlformats.org/officeDocument/2006/relationships/image" Target="../media/image3.png"/>
</Relationships>
</file>

<file path=xl/drawings/_rels/drawing21.xml.rels><?xml version="1.0" encoding="UTF-8"?>
<Relationships xmlns="http://schemas.openxmlformats.org/package/2006/relationships"><Relationship Id="rId1" Type="http://schemas.openxmlformats.org/officeDocument/2006/relationships/image" Target="../media/image3.png"/>
</Relationships>
</file>

<file path=xl/drawings/_rels/drawing22.xml.rels><?xml version="1.0" encoding="UTF-8"?>
<Relationships xmlns="http://schemas.openxmlformats.org/package/2006/relationships"><Relationship Id="rId1" Type="http://schemas.openxmlformats.org/officeDocument/2006/relationships/image" Target="../media/image3.png"/>
</Relationships>
</file>

<file path=xl/drawings/_rels/drawing23.xml.rels><?xml version="1.0" encoding="UTF-8"?>
<Relationships xmlns="http://schemas.openxmlformats.org/package/2006/relationships"><Relationship Id="rId1" Type="http://schemas.openxmlformats.org/officeDocument/2006/relationships/image" Target="../media/image3.png"/>
</Relationships>
</file>

<file path=xl/drawings/_rels/drawing24.xml.rels><?xml version="1.0" encoding="UTF-8"?>
<Relationships xmlns="http://schemas.openxmlformats.org/package/2006/relationships"><Relationship Id="rId1" Type="http://schemas.openxmlformats.org/officeDocument/2006/relationships/chart" Target="../charts/chart9.xml"/><Relationship Id="rId2" Type="http://schemas.openxmlformats.org/officeDocument/2006/relationships/image" Target="../media/image3.png"/>
</Relationships>
</file>

<file path=xl/drawings/_rels/drawing25.xml.rels><?xml version="1.0" encoding="UTF-8"?>
<Relationships xmlns="http://schemas.openxmlformats.org/package/2006/relationships"><Relationship Id="rId1" Type="http://schemas.openxmlformats.org/officeDocument/2006/relationships/image" Target="../media/image3.png"/>
</Relationships>
</file>

<file path=xl/drawings/_rels/drawing26.xml.rels><?xml version="1.0" encoding="UTF-8"?>
<Relationships xmlns="http://schemas.openxmlformats.org/package/2006/relationships"><Relationship Id="rId1" Type="http://schemas.openxmlformats.org/officeDocument/2006/relationships/chart" Target="../charts/chart10.xml"/><Relationship Id="rId2" Type="http://schemas.openxmlformats.org/officeDocument/2006/relationships/image" Target="../media/image3.png"/>
</Relationships>
</file>

<file path=xl/drawings/_rels/drawing27.xml.rels><?xml version="1.0" encoding="UTF-8"?>
<Relationships xmlns="http://schemas.openxmlformats.org/package/2006/relationships"><Relationship Id="rId1" Type="http://schemas.openxmlformats.org/officeDocument/2006/relationships/image" Target="../media/image3.png"/>
</Relationships>
</file>

<file path=xl/drawings/_rels/drawing28.xml.rels><?xml version="1.0" encoding="UTF-8"?>
<Relationships xmlns="http://schemas.openxmlformats.org/package/2006/relationships"><Relationship Id="rId1" Type="http://schemas.openxmlformats.org/officeDocument/2006/relationships/image" Target="../media/image3.png"/>
</Relationships>
</file>

<file path=xl/drawings/_rels/drawing29.xml.rels><?xml version="1.0" encoding="UTF-8"?>
<Relationships xmlns="http://schemas.openxmlformats.org/package/2006/relationships"><Relationship Id="rId1" Type="http://schemas.openxmlformats.org/officeDocument/2006/relationships/chart" Target="../charts/chart11.xml"/><Relationship Id="rId2" Type="http://schemas.openxmlformats.org/officeDocument/2006/relationships/image" Target="../media/image3.png"/>
</Relationships>
</file>

<file path=xl/drawings/_rels/drawing3.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image" Target="../media/image3.png"/>
</Relationships>
</file>

<file path=xl/drawings/_rels/drawing30.xml.rels><?xml version="1.0" encoding="UTF-8"?>
<Relationships xmlns="http://schemas.openxmlformats.org/package/2006/relationships"><Relationship Id="rId1" Type="http://schemas.openxmlformats.org/officeDocument/2006/relationships/image" Target="../media/image3.png"/>
</Relationships>
</file>

<file path=xl/drawings/_rels/drawing31.xml.rels><?xml version="1.0" encoding="UTF-8"?>
<Relationships xmlns="http://schemas.openxmlformats.org/package/2006/relationships"><Relationship Id="rId1" Type="http://schemas.openxmlformats.org/officeDocument/2006/relationships/image" Target="../media/image3.png"/>
</Relationships>
</file>

<file path=xl/drawings/_rels/drawing32.xml.rels><?xml version="1.0" encoding="UTF-8"?>
<Relationships xmlns="http://schemas.openxmlformats.org/package/2006/relationships"><Relationship Id="rId1" Type="http://schemas.openxmlformats.org/officeDocument/2006/relationships/image" Target="../media/image3.png"/>
</Relationships>
</file>

<file path=xl/drawings/_rels/drawing33.xml.rels><?xml version="1.0" encoding="UTF-8"?>
<Relationships xmlns="http://schemas.openxmlformats.org/package/2006/relationships"><Relationship Id="rId1" Type="http://schemas.openxmlformats.org/officeDocument/2006/relationships/image" Target="../media/image3.png"/>
</Relationships>
</file>

<file path=xl/drawings/_rels/drawing34.xml.rels><?xml version="1.0" encoding="UTF-8"?>
<Relationships xmlns="http://schemas.openxmlformats.org/package/2006/relationships"><Relationship Id="rId1" Type="http://schemas.openxmlformats.org/officeDocument/2006/relationships/image" Target="../media/image3.png"/>
</Relationships>
</file>

<file path=xl/drawings/_rels/drawing4.xml.rels><?xml version="1.0" encoding="UTF-8"?>
<Relationships xmlns="http://schemas.openxmlformats.org/package/2006/relationships"><Relationship Id="rId1" Type="http://schemas.openxmlformats.org/officeDocument/2006/relationships/image" Target="../media/image3.png"/>
</Relationships>
</file>

<file path=xl/drawings/_rels/drawing5.xml.rels><?xml version="1.0" encoding="UTF-8"?>
<Relationships xmlns="http://schemas.openxmlformats.org/package/2006/relationships"><Relationship Id="rId1" Type="http://schemas.openxmlformats.org/officeDocument/2006/relationships/image" Target="../media/image3.png"/>
</Relationships>
</file>

<file path=xl/drawings/_rels/drawing6.xml.rels><?xml version="1.0" encoding="UTF-8"?>
<Relationships xmlns="http://schemas.openxmlformats.org/package/2006/relationships"><Relationship Id="rId1" Type="http://schemas.openxmlformats.org/officeDocument/2006/relationships/image" Target="../media/image3.png"/>
</Relationships>
</file>

<file path=xl/drawings/_rels/drawing7.xml.rels><?xml version="1.0" encoding="UTF-8"?>
<Relationships xmlns="http://schemas.openxmlformats.org/package/2006/relationships"><Relationship Id="rId1" Type="http://schemas.openxmlformats.org/officeDocument/2006/relationships/image" Target="../media/image3.png"/>
</Relationships>
</file>

<file path=xl/drawings/_rels/drawing8.xml.rels><?xml version="1.0" encoding="UTF-8"?>
<Relationships xmlns="http://schemas.openxmlformats.org/package/2006/relationships"><Relationship Id="rId1" Type="http://schemas.openxmlformats.org/officeDocument/2006/relationships/image" Target="../media/image3.png"/>
</Relationships>
</file>

<file path=xl/drawings/_rels/drawing9.xml.rels><?xml version="1.0" encoding="UTF-8"?>
<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2</xdr:row>
      <xdr:rowOff>0</xdr:rowOff>
    </xdr:from>
    <xdr:to>
      <xdr:col>6</xdr:col>
      <xdr:colOff>123120</xdr:colOff>
      <xdr:row>7</xdr:row>
      <xdr:rowOff>56880</xdr:rowOff>
    </xdr:to>
    <xdr:pic>
      <xdr:nvPicPr>
        <xdr:cNvPr id="0" name="Image 1" descr="Picture"/>
        <xdr:cNvPicPr/>
      </xdr:nvPicPr>
      <xdr:blipFill>
        <a:blip r:embed="rId1"/>
        <a:stretch/>
      </xdr:blipFill>
      <xdr:spPr>
        <a:xfrm>
          <a:off x="176400" y="399960"/>
          <a:ext cx="4704840" cy="1056960"/>
        </a:xfrm>
        <a:prstGeom prst="rect">
          <a:avLst/>
        </a:prstGeom>
        <a:ln w="0">
          <a:noFill/>
        </a:ln>
      </xdr:spPr>
    </xdr:pic>
    <xdr:clientData/>
  </xdr:twoCellAnchor>
  <xdr:twoCellAnchor editAs="oneCell">
    <xdr:from>
      <xdr:col>7</xdr:col>
      <xdr:colOff>0</xdr:colOff>
      <xdr:row>5</xdr:row>
      <xdr:rowOff>0</xdr:rowOff>
    </xdr:from>
    <xdr:to>
      <xdr:col>9</xdr:col>
      <xdr:colOff>738720</xdr:colOff>
      <xdr:row>17</xdr:row>
      <xdr:rowOff>95040</xdr:rowOff>
    </xdr:to>
    <xdr:pic>
      <xdr:nvPicPr>
        <xdr:cNvPr id="1" name="Image 2" descr="Picture"/>
        <xdr:cNvPicPr/>
      </xdr:nvPicPr>
      <xdr:blipFill>
        <a:blip r:embed="rId2"/>
        <a:stretch/>
      </xdr:blipFill>
      <xdr:spPr>
        <a:xfrm>
          <a:off x="5674320" y="1000080"/>
          <a:ext cx="2571480" cy="257148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16"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22</xdr:row>
      <xdr:rowOff>172800</xdr:rowOff>
    </xdr:from>
    <xdr:to>
      <xdr:col>10</xdr:col>
      <xdr:colOff>372600</xdr:colOff>
      <xdr:row>35</xdr:row>
      <xdr:rowOff>158760</xdr:rowOff>
    </xdr:to>
    <xdr:graphicFrame>
      <xdr:nvGraphicFramePr>
        <xdr:cNvPr id="17" name="Chart 1"/>
        <xdr:cNvGraphicFramePr/>
      </xdr:nvGraphicFramePr>
      <xdr:xfrm>
        <a:off x="4699800" y="4781520"/>
        <a:ext cx="431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1352160</xdr:colOff>
      <xdr:row>1</xdr:row>
      <xdr:rowOff>256680</xdr:rowOff>
    </xdr:to>
    <xdr:pic>
      <xdr:nvPicPr>
        <xdr:cNvPr id="18" name="Image 2" descr="Picture"/>
        <xdr:cNvPicPr/>
      </xdr:nvPicPr>
      <xdr:blipFill>
        <a:blip r:embed="rId2"/>
        <a:stretch/>
      </xdr:blipFill>
      <xdr:spPr>
        <a:xfrm>
          <a:off x="611640" y="190440"/>
          <a:ext cx="1352160" cy="25668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2</xdr:col>
      <xdr:colOff>224640</xdr:colOff>
      <xdr:row>1</xdr:row>
      <xdr:rowOff>256680</xdr:rowOff>
    </xdr:to>
    <xdr:pic>
      <xdr:nvPicPr>
        <xdr:cNvPr id="19"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7</xdr:row>
      <xdr:rowOff>172800</xdr:rowOff>
    </xdr:from>
    <xdr:to>
      <xdr:col>14</xdr:col>
      <xdr:colOff>147600</xdr:colOff>
      <xdr:row>22</xdr:row>
      <xdr:rowOff>137880</xdr:rowOff>
    </xdr:to>
    <xdr:graphicFrame>
      <xdr:nvGraphicFramePr>
        <xdr:cNvPr id="20" name="Chart 1"/>
        <xdr:cNvGraphicFramePr/>
      </xdr:nvGraphicFramePr>
      <xdr:xfrm>
        <a:off x="4183560" y="1695600"/>
        <a:ext cx="5039640" cy="287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2</xdr:col>
      <xdr:colOff>717840</xdr:colOff>
      <xdr:row>1</xdr:row>
      <xdr:rowOff>256680</xdr:rowOff>
    </xdr:to>
    <xdr:pic>
      <xdr:nvPicPr>
        <xdr:cNvPr id="21" name="Image 2" descr="Picture"/>
        <xdr:cNvPicPr/>
      </xdr:nvPicPr>
      <xdr:blipFill>
        <a:blip r:embed="rId2"/>
        <a:stretch/>
      </xdr:blipFill>
      <xdr:spPr>
        <a:xfrm>
          <a:off x="611640" y="190440"/>
          <a:ext cx="1352160" cy="25668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2</xdr:col>
      <xdr:colOff>717840</xdr:colOff>
      <xdr:row>1</xdr:row>
      <xdr:rowOff>256680</xdr:rowOff>
    </xdr:to>
    <xdr:pic>
      <xdr:nvPicPr>
        <xdr:cNvPr id="22"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2</xdr:col>
      <xdr:colOff>717840</xdr:colOff>
      <xdr:row>1</xdr:row>
      <xdr:rowOff>256680</xdr:rowOff>
    </xdr:to>
    <xdr:pic>
      <xdr:nvPicPr>
        <xdr:cNvPr id="23"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24"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25"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2</xdr:col>
      <xdr:colOff>647280</xdr:colOff>
      <xdr:row>1</xdr:row>
      <xdr:rowOff>256680</xdr:rowOff>
    </xdr:to>
    <xdr:pic>
      <xdr:nvPicPr>
        <xdr:cNvPr id="26"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27"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2"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28"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29"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30"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31"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24.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7</xdr:row>
      <xdr:rowOff>172800</xdr:rowOff>
    </xdr:from>
    <xdr:to>
      <xdr:col>12</xdr:col>
      <xdr:colOff>39240</xdr:colOff>
      <xdr:row>24</xdr:row>
      <xdr:rowOff>117000</xdr:rowOff>
    </xdr:to>
    <xdr:graphicFrame>
      <xdr:nvGraphicFramePr>
        <xdr:cNvPr id="32" name="Chart 1"/>
        <xdr:cNvGraphicFramePr/>
      </xdr:nvGraphicFramePr>
      <xdr:xfrm>
        <a:off x="8130600" y="1695600"/>
        <a:ext cx="4319640" cy="323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1352160</xdr:colOff>
      <xdr:row>1</xdr:row>
      <xdr:rowOff>256680</xdr:rowOff>
    </xdr:to>
    <xdr:pic>
      <xdr:nvPicPr>
        <xdr:cNvPr id="33" name="Image 2" descr="Picture"/>
        <xdr:cNvPicPr/>
      </xdr:nvPicPr>
      <xdr:blipFill>
        <a:blip r:embed="rId2"/>
        <a:stretch/>
      </xdr:blipFill>
      <xdr:spPr>
        <a:xfrm>
          <a:off x="611640" y="190440"/>
          <a:ext cx="1352160" cy="256680"/>
        </a:xfrm>
        <a:prstGeom prst="rect">
          <a:avLst/>
        </a:prstGeom>
        <a:ln w="0">
          <a:noFill/>
        </a:ln>
      </xdr:spPr>
    </xdr:pic>
    <xdr:clientData/>
  </xdr:twoCellAnchor>
</xdr:wsDr>
</file>

<file path=xl/drawings/drawing2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2</xdr:col>
      <xdr:colOff>717840</xdr:colOff>
      <xdr:row>1</xdr:row>
      <xdr:rowOff>256680</xdr:rowOff>
    </xdr:to>
    <xdr:pic>
      <xdr:nvPicPr>
        <xdr:cNvPr id="34"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26.xml><?xml version="1.0" encoding="utf-8"?>
<xdr:wsDr xmlns:xdr="http://schemas.openxmlformats.org/drawingml/2006/spreadsheetDrawing" xmlns:a="http://schemas.openxmlformats.org/drawingml/2006/main" xmlns:r="http://schemas.openxmlformats.org/officeDocument/2006/relationships">
  <xdr:twoCellAnchor editAs="oneCell">
    <xdr:from>
      <xdr:col>7</xdr:col>
      <xdr:colOff>0</xdr:colOff>
      <xdr:row>7</xdr:row>
      <xdr:rowOff>172800</xdr:rowOff>
    </xdr:from>
    <xdr:to>
      <xdr:col>14</xdr:col>
      <xdr:colOff>398880</xdr:colOff>
      <xdr:row>21</xdr:row>
      <xdr:rowOff>148320</xdr:rowOff>
    </xdr:to>
    <xdr:graphicFrame>
      <xdr:nvGraphicFramePr>
        <xdr:cNvPr id="35" name="Chart 1"/>
        <xdr:cNvGraphicFramePr/>
      </xdr:nvGraphicFramePr>
      <xdr:xfrm>
        <a:off x="5663520" y="1695600"/>
        <a:ext cx="4679640" cy="269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2</xdr:col>
      <xdr:colOff>717840</xdr:colOff>
      <xdr:row>1</xdr:row>
      <xdr:rowOff>256680</xdr:rowOff>
    </xdr:to>
    <xdr:pic>
      <xdr:nvPicPr>
        <xdr:cNvPr id="36" name="Image 2" descr="Picture"/>
        <xdr:cNvPicPr/>
      </xdr:nvPicPr>
      <xdr:blipFill>
        <a:blip r:embed="rId2"/>
        <a:stretch/>
      </xdr:blipFill>
      <xdr:spPr>
        <a:xfrm>
          <a:off x="611640" y="190440"/>
          <a:ext cx="1352160" cy="256680"/>
        </a:xfrm>
        <a:prstGeom prst="rect">
          <a:avLst/>
        </a:prstGeom>
        <a:ln w="0">
          <a:noFill/>
        </a:ln>
      </xdr:spPr>
    </xdr:pic>
    <xdr:clientData/>
  </xdr:twoCellAnchor>
</xdr:wsDr>
</file>

<file path=xl/drawings/drawing2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37"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2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38"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29.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7</xdr:row>
      <xdr:rowOff>172800</xdr:rowOff>
    </xdr:from>
    <xdr:to>
      <xdr:col>12</xdr:col>
      <xdr:colOff>290880</xdr:colOff>
      <xdr:row>20</xdr:row>
      <xdr:rowOff>158760</xdr:rowOff>
    </xdr:to>
    <xdr:graphicFrame>
      <xdr:nvGraphicFramePr>
        <xdr:cNvPr id="39" name="Chart 1"/>
        <xdr:cNvGraphicFramePr/>
      </xdr:nvGraphicFramePr>
      <xdr:xfrm>
        <a:off x="6509520" y="1695600"/>
        <a:ext cx="395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1352160</xdr:colOff>
      <xdr:row>1</xdr:row>
      <xdr:rowOff>256680</xdr:rowOff>
    </xdr:to>
    <xdr:pic>
      <xdr:nvPicPr>
        <xdr:cNvPr id="40" name="Image 2" descr="Picture"/>
        <xdr:cNvPicPr/>
      </xdr:nvPicPr>
      <xdr:blipFill>
        <a:blip r:embed="rId2"/>
        <a:stretch/>
      </xdr:blipFill>
      <xdr:spPr>
        <a:xfrm>
          <a:off x="611640" y="190440"/>
          <a:ext cx="1352160" cy="2566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18</xdr:row>
      <xdr:rowOff>71640</xdr:rowOff>
    </xdr:from>
    <xdr:to>
      <xdr:col>4</xdr:col>
      <xdr:colOff>482040</xdr:colOff>
      <xdr:row>31</xdr:row>
      <xdr:rowOff>186840</xdr:rowOff>
    </xdr:to>
    <xdr:graphicFrame>
      <xdr:nvGraphicFramePr>
        <xdr:cNvPr id="3" name="Chart 1"/>
        <xdr:cNvGraphicFramePr/>
      </xdr:nvGraphicFramePr>
      <xdr:xfrm>
        <a:off x="611640" y="3848040"/>
        <a:ext cx="4499640" cy="2591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18</xdr:row>
      <xdr:rowOff>71640</xdr:rowOff>
    </xdr:from>
    <xdr:to>
      <xdr:col>7</xdr:col>
      <xdr:colOff>482040</xdr:colOff>
      <xdr:row>31</xdr:row>
      <xdr:rowOff>186840</xdr:rowOff>
    </xdr:to>
    <xdr:graphicFrame>
      <xdr:nvGraphicFramePr>
        <xdr:cNvPr id="4" name="Chart 2"/>
        <xdr:cNvGraphicFramePr/>
      </xdr:nvGraphicFramePr>
      <xdr:xfrm>
        <a:off x="4629240" y="3848040"/>
        <a:ext cx="4499640" cy="2591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33</xdr:row>
      <xdr:rowOff>72000</xdr:rowOff>
    </xdr:from>
    <xdr:to>
      <xdr:col>4</xdr:col>
      <xdr:colOff>482040</xdr:colOff>
      <xdr:row>46</xdr:row>
      <xdr:rowOff>186840</xdr:rowOff>
    </xdr:to>
    <xdr:graphicFrame>
      <xdr:nvGraphicFramePr>
        <xdr:cNvPr id="5" name="Chart 3"/>
        <xdr:cNvGraphicFramePr/>
      </xdr:nvGraphicFramePr>
      <xdr:xfrm>
        <a:off x="611640" y="6705720"/>
        <a:ext cx="4499640" cy="25916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0</xdr:colOff>
      <xdr:row>33</xdr:row>
      <xdr:rowOff>72000</xdr:rowOff>
    </xdr:from>
    <xdr:to>
      <xdr:col>7</xdr:col>
      <xdr:colOff>482040</xdr:colOff>
      <xdr:row>46</xdr:row>
      <xdr:rowOff>186840</xdr:rowOff>
    </xdr:to>
    <xdr:graphicFrame>
      <xdr:nvGraphicFramePr>
        <xdr:cNvPr id="6" name="Chart 4"/>
        <xdr:cNvGraphicFramePr/>
      </xdr:nvGraphicFramePr>
      <xdr:xfrm>
        <a:off x="4629240" y="6705720"/>
        <a:ext cx="4499640" cy="25916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48</xdr:row>
      <xdr:rowOff>71640</xdr:rowOff>
    </xdr:from>
    <xdr:to>
      <xdr:col>4</xdr:col>
      <xdr:colOff>482040</xdr:colOff>
      <xdr:row>61</xdr:row>
      <xdr:rowOff>186840</xdr:rowOff>
    </xdr:to>
    <xdr:graphicFrame>
      <xdr:nvGraphicFramePr>
        <xdr:cNvPr id="7" name="Chart 5"/>
        <xdr:cNvGraphicFramePr/>
      </xdr:nvGraphicFramePr>
      <xdr:xfrm>
        <a:off x="611640" y="9563040"/>
        <a:ext cx="4499640" cy="25916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4</xdr:col>
      <xdr:colOff>0</xdr:colOff>
      <xdr:row>48</xdr:row>
      <xdr:rowOff>71640</xdr:rowOff>
    </xdr:from>
    <xdr:to>
      <xdr:col>7</xdr:col>
      <xdr:colOff>482040</xdr:colOff>
      <xdr:row>61</xdr:row>
      <xdr:rowOff>186840</xdr:rowOff>
    </xdr:to>
    <xdr:graphicFrame>
      <xdr:nvGraphicFramePr>
        <xdr:cNvPr id="8" name="Chart 6"/>
        <xdr:cNvGraphicFramePr/>
      </xdr:nvGraphicFramePr>
      <xdr:xfrm>
        <a:off x="4629240" y="9563040"/>
        <a:ext cx="4499640" cy="25916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1</xdr:row>
      <xdr:rowOff>0</xdr:rowOff>
    </xdr:from>
    <xdr:to>
      <xdr:col>2</xdr:col>
      <xdr:colOff>12960</xdr:colOff>
      <xdr:row>1</xdr:row>
      <xdr:rowOff>256680</xdr:rowOff>
    </xdr:to>
    <xdr:pic>
      <xdr:nvPicPr>
        <xdr:cNvPr id="9" name="Image 7" descr="Picture"/>
        <xdr:cNvPicPr/>
      </xdr:nvPicPr>
      <xdr:blipFill>
        <a:blip r:embed="rId7"/>
        <a:stretch/>
      </xdr:blipFill>
      <xdr:spPr>
        <a:xfrm>
          <a:off x="611640" y="190440"/>
          <a:ext cx="1352160" cy="256680"/>
        </a:xfrm>
        <a:prstGeom prst="rect">
          <a:avLst/>
        </a:prstGeom>
        <a:ln w="0">
          <a:noFill/>
        </a:ln>
      </xdr:spPr>
    </xdr:pic>
    <xdr:clientData/>
  </xdr:twoCellAnchor>
</xdr:wsDr>
</file>

<file path=xl/drawings/drawing3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2</xdr:col>
      <xdr:colOff>435960</xdr:colOff>
      <xdr:row>1</xdr:row>
      <xdr:rowOff>256680</xdr:rowOff>
    </xdr:to>
    <xdr:pic>
      <xdr:nvPicPr>
        <xdr:cNvPr id="41"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3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42"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3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43"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3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44"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3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45"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10" name="Image 1" descr="Picture"/>
        <xdr:cNvPicPr/>
      </xdr:nvPicPr>
      <xdr:blipFill>
        <a:blip r:embed="rId1"/>
        <a:stretch/>
      </xdr:blipFill>
      <xdr:spPr>
        <a:xfrm>
          <a:off x="176400" y="190440"/>
          <a:ext cx="1352160" cy="25668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2</xdr:col>
      <xdr:colOff>294840</xdr:colOff>
      <xdr:row>1</xdr:row>
      <xdr:rowOff>256680</xdr:rowOff>
    </xdr:to>
    <xdr:pic>
      <xdr:nvPicPr>
        <xdr:cNvPr id="11"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12"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13"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14"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xdr:row>
      <xdr:rowOff>0</xdr:rowOff>
    </xdr:from>
    <xdr:to>
      <xdr:col>1</xdr:col>
      <xdr:colOff>1352160</xdr:colOff>
      <xdr:row>1</xdr:row>
      <xdr:rowOff>256680</xdr:rowOff>
    </xdr:to>
    <xdr:pic>
      <xdr:nvPicPr>
        <xdr:cNvPr id="15" name="Image 1" descr="Picture"/>
        <xdr:cNvPicPr/>
      </xdr:nvPicPr>
      <xdr:blipFill>
        <a:blip r:embed="rId1"/>
        <a:stretch/>
      </xdr:blipFill>
      <xdr:spPr>
        <a:xfrm>
          <a:off x="611640" y="190440"/>
          <a:ext cx="1352160" cy="25668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15.xml"/>
</Relationships>
</file>

<file path=xl/worksheets/_rels/sheet16.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16.xml"/>
</Relationships>
</file>

<file path=xl/worksheets/_rels/sheet17.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17.xml"/>
</Relationships>
</file>

<file path=xl/worksheets/_rels/sheet18.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18.xml"/>
</Relationships>
</file>

<file path=xl/worksheets/_rels/sheet19.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19.xml"/>
</Relationships>
</file>

<file path=xl/worksheets/_rels/sheet2.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2.xml"/>
</Relationships>
</file>

<file path=xl/worksheets/_rels/sheet20.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20.xml"/>
</Relationships>
</file>

<file path=xl/worksheets/_rels/sheet21.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21.xml"/>
</Relationships>
</file>

<file path=xl/worksheets/_rels/sheet22.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22.xml"/>
</Relationships>
</file>

<file path=xl/worksheets/_rels/sheet23.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23.xml"/>
</Relationships>
</file>

<file path=xl/worksheets/_rels/sheet24.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24.xml"/>
</Relationships>
</file>

<file path=xl/worksheets/_rels/sheet25.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25.xml"/>
</Relationships>
</file>

<file path=xl/worksheets/_rels/sheet26.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26.xml"/>
</Relationships>
</file>

<file path=xl/worksheets/_rels/sheet27.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27.xml"/>
</Relationships>
</file>

<file path=xl/worksheets/_rels/sheet28.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28.xml"/>
</Relationships>
</file>

<file path=xl/worksheets/_rels/sheet29.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29.xml"/>
</Relationships>
</file>

<file path=xl/worksheets/_rels/sheet3.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hyperlink" Target="KILDE_Integrated_Financial_Model_v3.5_2026-07.xlsx" TargetMode="External"/><Relationship Id="rId6" Type="http://schemas.openxmlformats.org/officeDocument/2006/relationships/hyperlink" Target="KILDE_Integrated_Financial_Model_v3.5_2026-07.xlsx" TargetMode="External"/><Relationship Id="rId7" Type="http://schemas.openxmlformats.org/officeDocument/2006/relationships/hyperlink" Target="KILDE_Integrated_Financial_Model_v3.5_2026-07.xlsx" TargetMode="External"/><Relationship Id="rId8" Type="http://schemas.openxmlformats.org/officeDocument/2006/relationships/hyperlink" Target="KILDE_Integrated_Financial_Model_v3.5_2026-07.xlsx" TargetMode="External"/><Relationship Id="rId9" Type="http://schemas.openxmlformats.org/officeDocument/2006/relationships/hyperlink" Target="KILDE_Integrated_Financial_Model_v3.5_2026-07.xlsx" TargetMode="External"/><Relationship Id="rId10" Type="http://schemas.openxmlformats.org/officeDocument/2006/relationships/hyperlink" Target="KILDE_Integrated_Financial_Model_v3.5_2026-07.xlsx" TargetMode="External"/><Relationship Id="rId11" Type="http://schemas.openxmlformats.org/officeDocument/2006/relationships/hyperlink" Target="KILDE_Integrated_Financial_Model_v3.5_2026-07.xlsx" TargetMode="External"/><Relationship Id="rId12" Type="http://schemas.openxmlformats.org/officeDocument/2006/relationships/hyperlink" Target="KILDE_Integrated_Financial_Model_v3.5_2026-07.xlsx" TargetMode="External"/><Relationship Id="rId13" Type="http://schemas.openxmlformats.org/officeDocument/2006/relationships/hyperlink" Target="KILDE_Integrated_Financial_Model_v3.5_2026-07.xlsx" TargetMode="External"/><Relationship Id="rId14" Type="http://schemas.openxmlformats.org/officeDocument/2006/relationships/hyperlink" Target="KILDE_Integrated_Financial_Model_v3.5_2026-07.xlsx" TargetMode="External"/><Relationship Id="rId15" Type="http://schemas.openxmlformats.org/officeDocument/2006/relationships/hyperlink" Target="KILDE_Integrated_Financial_Model_v3.5_2026-07.xlsx" TargetMode="External"/><Relationship Id="rId16" Type="http://schemas.openxmlformats.org/officeDocument/2006/relationships/hyperlink" Target="KILDE_Integrated_Financial_Model_v3.5_2026-07.xlsx" TargetMode="External"/><Relationship Id="rId17" Type="http://schemas.openxmlformats.org/officeDocument/2006/relationships/drawing" Target="../drawings/drawing3.xml"/>
</Relationships>
</file>

<file path=xl/worksheets/_rels/sheet30.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30.xml"/>
</Relationships>
</file>

<file path=xl/worksheets/_rels/sheet31.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31.xml"/>
</Relationships>
</file>

<file path=xl/worksheets/_rels/sheet32.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32.xml"/>
</Relationships>
</file>

<file path=xl/worksheets/_rels/sheet33.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33.xml"/>
</Relationships>
</file>

<file path=xl/worksheets/_rels/sheet34.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34.xml"/>
</Relationships>
</file>

<file path=xl/worksheets/_rels/sheet4.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hyperlink" Target="KILDE_Integrated_Financial_Model_v3.5_2026-07.xlsx" TargetMode="External"/><Relationship Id="rId6"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hyperlink" Target="KILDE_Integrated_Financial_Model_v3.5_2026-07.xlsx" TargetMode="External"/><Relationship Id="rId2" Type="http://schemas.openxmlformats.org/officeDocument/2006/relationships/hyperlink" Target="KILDE_Integrated_Financial_Model_v3.5_2026-07.xlsx" TargetMode="External"/><Relationship Id="rId3" Type="http://schemas.openxmlformats.org/officeDocument/2006/relationships/hyperlink" Target="KILDE_Integrated_Financial_Model_v3.5_2026-07.xlsx" TargetMode="External"/><Relationship Id="rId4" Type="http://schemas.openxmlformats.org/officeDocument/2006/relationships/hyperlink" Target="KILDE_Integrated_Financial_Model_v3.5_2026-07.xlsx" TargetMode="External"/><Relationship Id="rId5"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52435"/>
    <pageSetUpPr fitToPage="false"/>
  </sheetPr>
  <dimension ref="A1:M139"/>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B2" activeCellId="0" sqref="B2"/>
    </sheetView>
  </sheetViews>
  <sheetFormatPr defaultColWidth="8.6796875" defaultRowHeight="15" zeroHeight="false" outlineLevelRow="0" outlineLevelCol="0"/>
  <cols>
    <col collapsed="false" customWidth="true" hidden="false" outlineLevel="0" max="1" min="1" style="0" width="2.5"/>
    <col collapsed="false" customWidth="true" hidden="false" outlineLevel="0" max="12" min="2" style="0" width="13"/>
    <col collapsed="false" customWidth="true" hidden="false" outlineLevel="0" max="13" min="13" style="0" width="2.5"/>
    <col collapsed="false" customWidth="true" hidden="true" outlineLevel="0" max="59" min="14" style="0" width="13"/>
  </cols>
  <sheetData>
    <row r="1" customFormat="false" ht="15.75" hidden="false" customHeight="true" outlineLevel="0" collapsed="false">
      <c r="A1" s="1"/>
      <c r="B1" s="1"/>
      <c r="C1" s="1"/>
      <c r="D1" s="1"/>
      <c r="E1" s="1"/>
      <c r="F1" s="1"/>
      <c r="G1" s="1"/>
      <c r="H1" s="1"/>
      <c r="I1" s="1"/>
      <c r="J1" s="1"/>
      <c r="K1" s="1"/>
      <c r="L1" s="1"/>
      <c r="M1" s="1"/>
    </row>
    <row r="2" customFormat="false" ht="15.75" hidden="false" customHeight="true" outlineLevel="0" collapsed="false">
      <c r="A2" s="1"/>
      <c r="B2" s="1"/>
      <c r="C2" s="1"/>
      <c r="D2" s="1"/>
      <c r="E2" s="1"/>
      <c r="F2" s="1"/>
      <c r="G2" s="1"/>
      <c r="H2" s="1"/>
      <c r="I2" s="1"/>
      <c r="J2" s="1"/>
      <c r="K2" s="1"/>
      <c r="L2" s="1"/>
      <c r="M2" s="1"/>
    </row>
    <row r="3" customFormat="false" ht="15.75" hidden="false" customHeight="true" outlineLevel="0" collapsed="false">
      <c r="A3" s="1"/>
      <c r="B3" s="1"/>
      <c r="C3" s="1"/>
      <c r="D3" s="1"/>
      <c r="E3" s="1"/>
      <c r="F3" s="1"/>
      <c r="G3" s="1"/>
      <c r="H3" s="1"/>
      <c r="I3" s="1"/>
      <c r="J3" s="1"/>
      <c r="K3" s="1"/>
      <c r="L3" s="1"/>
      <c r="M3" s="1"/>
    </row>
    <row r="4" customFormat="false" ht="15.75" hidden="false" customHeight="true" outlineLevel="0" collapsed="false">
      <c r="A4" s="1"/>
      <c r="B4" s="1"/>
      <c r="C4" s="1"/>
      <c r="D4" s="1"/>
      <c r="E4" s="1"/>
      <c r="F4" s="1"/>
      <c r="G4" s="1"/>
      <c r="H4" s="1"/>
      <c r="I4" s="1"/>
      <c r="J4" s="1"/>
      <c r="K4" s="1"/>
      <c r="L4" s="1"/>
      <c r="M4" s="1"/>
    </row>
    <row r="5" customFormat="false" ht="15.75" hidden="false" customHeight="true" outlineLevel="0" collapsed="false">
      <c r="A5" s="1"/>
      <c r="B5" s="1"/>
      <c r="C5" s="1"/>
      <c r="D5" s="1"/>
      <c r="E5" s="1"/>
      <c r="F5" s="1"/>
      <c r="G5" s="1"/>
      <c r="H5" s="1"/>
      <c r="I5" s="1"/>
      <c r="J5" s="1"/>
      <c r="K5" s="1"/>
      <c r="L5" s="1"/>
      <c r="M5" s="1"/>
    </row>
    <row r="6" customFormat="false" ht="15.75" hidden="false" customHeight="true" outlineLevel="0" collapsed="false">
      <c r="A6" s="1"/>
      <c r="B6" s="1"/>
      <c r="C6" s="1"/>
      <c r="D6" s="1"/>
      <c r="E6" s="1"/>
      <c r="F6" s="1"/>
      <c r="G6" s="1"/>
      <c r="H6" s="1"/>
      <c r="I6" s="1"/>
      <c r="J6" s="1"/>
      <c r="K6" s="1"/>
      <c r="L6" s="1"/>
      <c r="M6" s="1"/>
    </row>
    <row r="7" customFormat="false" ht="15.75" hidden="false" customHeight="true" outlineLevel="0" collapsed="false">
      <c r="A7" s="1"/>
      <c r="B7" s="1"/>
      <c r="C7" s="1"/>
      <c r="D7" s="1"/>
      <c r="E7" s="1"/>
      <c r="F7" s="1"/>
      <c r="G7" s="1"/>
      <c r="H7" s="1"/>
      <c r="I7" s="1"/>
      <c r="J7" s="1"/>
      <c r="K7" s="1"/>
      <c r="L7" s="1"/>
      <c r="M7" s="1"/>
    </row>
    <row r="8" customFormat="false" ht="15.75" hidden="false" customHeight="true" outlineLevel="0" collapsed="false">
      <c r="A8" s="1"/>
      <c r="B8" s="1"/>
      <c r="C8" s="1"/>
      <c r="D8" s="1"/>
      <c r="E8" s="1"/>
      <c r="F8" s="1"/>
      <c r="G8" s="1"/>
      <c r="H8" s="1"/>
      <c r="I8" s="1"/>
      <c r="J8" s="1"/>
      <c r="K8" s="1"/>
      <c r="L8" s="1"/>
      <c r="M8" s="1"/>
    </row>
    <row r="9" customFormat="false" ht="15.75" hidden="false" customHeight="true" outlineLevel="0" collapsed="false">
      <c r="A9" s="1"/>
      <c r="B9" s="1"/>
      <c r="C9" s="1"/>
      <c r="D9" s="1"/>
      <c r="E9" s="1"/>
      <c r="F9" s="1"/>
      <c r="G9" s="1"/>
      <c r="H9" s="1"/>
      <c r="I9" s="1"/>
      <c r="J9" s="1"/>
      <c r="K9" s="1"/>
      <c r="L9" s="1"/>
      <c r="M9" s="1"/>
    </row>
    <row r="10" customFormat="false" ht="15.75" hidden="false" customHeight="true" outlineLevel="0" collapsed="false">
      <c r="A10" s="1"/>
      <c r="B10" s="1"/>
      <c r="C10" s="1"/>
      <c r="D10" s="1"/>
      <c r="E10" s="1"/>
      <c r="F10" s="1"/>
      <c r="G10" s="1"/>
      <c r="H10" s="1"/>
      <c r="I10" s="1"/>
      <c r="J10" s="1"/>
      <c r="K10" s="1"/>
      <c r="L10" s="1"/>
      <c r="M10" s="1"/>
    </row>
    <row r="11" customFormat="false" ht="2.25" hidden="false" customHeight="true" outlineLevel="0" collapsed="false">
      <c r="A11" s="1"/>
      <c r="B11" s="2"/>
      <c r="C11" s="2"/>
      <c r="D11" s="2"/>
      <c r="E11" s="2"/>
      <c r="F11" s="2"/>
      <c r="G11" s="2"/>
      <c r="H11" s="1"/>
      <c r="I11" s="1"/>
      <c r="J11" s="1"/>
      <c r="K11" s="1"/>
      <c r="L11" s="1"/>
      <c r="M11" s="1"/>
    </row>
    <row r="12" customFormat="false" ht="15.75" hidden="false" customHeight="true" outlineLevel="0" collapsed="false">
      <c r="A12" s="1"/>
      <c r="B12" s="1"/>
      <c r="C12" s="1"/>
      <c r="D12" s="1"/>
      <c r="E12" s="1"/>
      <c r="F12" s="1"/>
      <c r="G12" s="1"/>
      <c r="H12" s="1"/>
      <c r="I12" s="1"/>
      <c r="J12" s="1"/>
      <c r="K12" s="1"/>
      <c r="L12" s="1"/>
      <c r="M12" s="1"/>
    </row>
    <row r="13" customFormat="false" ht="25.5" hidden="false" customHeight="true" outlineLevel="0" collapsed="false">
      <c r="A13" s="1"/>
      <c r="B13" s="3" t="s">
        <v>0</v>
      </c>
      <c r="C13" s="1"/>
      <c r="D13" s="1"/>
      <c r="E13" s="1"/>
      <c r="F13" s="1"/>
      <c r="G13" s="1"/>
      <c r="H13" s="1"/>
      <c r="I13" s="1"/>
      <c r="J13" s="1"/>
      <c r="K13" s="1"/>
      <c r="L13" s="1"/>
      <c r="M13" s="1"/>
    </row>
    <row r="14" customFormat="false" ht="15.75" hidden="false" customHeight="true" outlineLevel="0" collapsed="false">
      <c r="A14" s="1"/>
      <c r="B14" s="1"/>
      <c r="C14" s="1"/>
      <c r="D14" s="1"/>
      <c r="E14" s="1"/>
      <c r="F14" s="1"/>
      <c r="G14" s="1"/>
      <c r="H14" s="1"/>
      <c r="I14" s="1"/>
      <c r="J14" s="1"/>
      <c r="K14" s="1"/>
      <c r="L14" s="1"/>
      <c r="M14" s="1"/>
    </row>
    <row r="15" customFormat="false" ht="25.5" hidden="false" customHeight="true" outlineLevel="0" collapsed="false">
      <c r="A15" s="1"/>
      <c r="B15" s="3" t="s">
        <v>1</v>
      </c>
      <c r="C15" s="1"/>
      <c r="D15" s="1"/>
      <c r="E15" s="1"/>
      <c r="F15" s="1"/>
      <c r="G15" s="1"/>
      <c r="H15" s="1"/>
      <c r="I15" s="1"/>
      <c r="J15" s="1"/>
      <c r="K15" s="1"/>
      <c r="L15" s="1"/>
      <c r="M15" s="1"/>
    </row>
    <row r="16" customFormat="false" ht="15.75" hidden="false" customHeight="true" outlineLevel="0" collapsed="false">
      <c r="A16" s="1"/>
      <c r="B16" s="1"/>
      <c r="C16" s="1"/>
      <c r="D16" s="1"/>
      <c r="E16" s="1"/>
      <c r="F16" s="1"/>
      <c r="G16" s="1"/>
      <c r="H16" s="1"/>
      <c r="I16" s="1"/>
      <c r="J16" s="1"/>
      <c r="K16" s="1"/>
      <c r="L16" s="1"/>
      <c r="M16" s="1"/>
    </row>
    <row r="17" customFormat="false" ht="15.75" hidden="false" customHeight="true" outlineLevel="0" collapsed="false">
      <c r="A17" s="1"/>
      <c r="B17" s="1"/>
      <c r="C17" s="1"/>
      <c r="D17" s="1"/>
      <c r="E17" s="1"/>
      <c r="F17" s="1"/>
      <c r="G17" s="1"/>
      <c r="H17" s="1"/>
      <c r="I17" s="1"/>
      <c r="J17" s="1"/>
      <c r="K17" s="1"/>
      <c r="L17" s="1"/>
      <c r="M17" s="1"/>
    </row>
    <row r="18" customFormat="false" ht="15.75" hidden="false" customHeight="true" outlineLevel="0" collapsed="false">
      <c r="A18" s="1"/>
      <c r="B18" s="4" t="s">
        <v>2</v>
      </c>
      <c r="C18" s="1"/>
      <c r="D18" s="1"/>
      <c r="E18" s="1"/>
      <c r="F18" s="1"/>
      <c r="G18" s="1"/>
      <c r="H18" s="1"/>
      <c r="I18" s="1"/>
      <c r="J18" s="1"/>
      <c r="K18" s="1"/>
      <c r="L18" s="1"/>
      <c r="M18" s="1"/>
    </row>
    <row r="19" customFormat="false" ht="15.75" hidden="false" customHeight="true" outlineLevel="0" collapsed="false">
      <c r="A19" s="1"/>
      <c r="B19" s="4" t="s">
        <v>3</v>
      </c>
      <c r="C19" s="1"/>
      <c r="D19" s="1"/>
      <c r="E19" s="1"/>
      <c r="F19" s="1"/>
      <c r="G19" s="1"/>
      <c r="H19" s="1"/>
      <c r="I19" s="1"/>
      <c r="J19" s="1"/>
      <c r="K19" s="1"/>
      <c r="L19" s="1"/>
      <c r="M19" s="1"/>
    </row>
    <row r="20" customFormat="false" ht="15.75" hidden="false" customHeight="true" outlineLevel="0" collapsed="false">
      <c r="A20" s="1"/>
      <c r="B20" s="4" t="s">
        <v>4</v>
      </c>
      <c r="C20" s="1"/>
      <c r="D20" s="1"/>
      <c r="E20" s="1"/>
      <c r="F20" s="1"/>
      <c r="G20" s="1"/>
      <c r="H20" s="1"/>
      <c r="I20" s="1"/>
      <c r="J20" s="1"/>
      <c r="K20" s="1"/>
      <c r="L20" s="1"/>
      <c r="M20" s="1"/>
    </row>
    <row r="21" customFormat="false" ht="15.75" hidden="false" customHeight="true" outlineLevel="0" collapsed="false">
      <c r="A21" s="1"/>
      <c r="B21" s="1"/>
      <c r="C21" s="1"/>
      <c r="D21" s="1"/>
      <c r="E21" s="1"/>
      <c r="F21" s="1"/>
      <c r="G21" s="1"/>
      <c r="H21" s="1"/>
      <c r="I21" s="1"/>
      <c r="J21" s="1"/>
      <c r="K21" s="1"/>
      <c r="L21" s="1"/>
      <c r="M21" s="1"/>
    </row>
    <row r="22" customFormat="false" ht="15.75" hidden="false" customHeight="true" outlineLevel="0" collapsed="false">
      <c r="A22" s="1"/>
      <c r="B22" s="1"/>
      <c r="C22" s="1"/>
      <c r="D22" s="1"/>
      <c r="E22" s="1"/>
      <c r="F22" s="1"/>
      <c r="G22" s="1"/>
      <c r="H22" s="1"/>
      <c r="I22" s="1"/>
      <c r="J22" s="1"/>
      <c r="K22" s="1"/>
      <c r="L22" s="1"/>
      <c r="M22" s="1"/>
    </row>
    <row r="23" customFormat="false" ht="15.75" hidden="false" customHeight="true" outlineLevel="0" collapsed="false">
      <c r="A23" s="1"/>
      <c r="B23" s="5" t="s">
        <v>5</v>
      </c>
      <c r="C23" s="1"/>
      <c r="D23" s="6" t="s">
        <v>6</v>
      </c>
      <c r="E23" s="1"/>
      <c r="F23" s="1"/>
      <c r="G23" s="1"/>
      <c r="H23" s="1"/>
      <c r="I23" s="1"/>
      <c r="J23" s="1"/>
      <c r="K23" s="1"/>
      <c r="L23" s="1"/>
      <c r="M23" s="1"/>
    </row>
    <row r="24" customFormat="false" ht="15.75" hidden="false" customHeight="true" outlineLevel="0" collapsed="false">
      <c r="A24" s="1"/>
      <c r="B24" s="1"/>
      <c r="C24" s="1"/>
      <c r="D24" s="1"/>
      <c r="E24" s="1"/>
      <c r="F24" s="1"/>
      <c r="G24" s="1"/>
      <c r="H24" s="1"/>
      <c r="I24" s="1"/>
      <c r="J24" s="1"/>
      <c r="K24" s="1"/>
      <c r="L24" s="1"/>
      <c r="M24" s="1"/>
    </row>
    <row r="25" customFormat="false" ht="15.75" hidden="false" customHeight="true" outlineLevel="0" collapsed="false">
      <c r="A25" s="1"/>
      <c r="B25" s="5" t="s">
        <v>7</v>
      </c>
      <c r="C25" s="1"/>
      <c r="D25" s="6" t="s">
        <v>8</v>
      </c>
      <c r="E25" s="1"/>
      <c r="F25" s="1"/>
      <c r="G25" s="1"/>
      <c r="H25" s="1"/>
      <c r="I25" s="1"/>
      <c r="J25" s="1"/>
      <c r="K25" s="1"/>
      <c r="L25" s="1"/>
      <c r="M25" s="1"/>
    </row>
    <row r="26" customFormat="false" ht="15.75" hidden="false" customHeight="true" outlineLevel="0" collapsed="false">
      <c r="A26" s="1"/>
      <c r="B26" s="1"/>
      <c r="C26" s="1"/>
      <c r="D26" s="1"/>
      <c r="E26" s="1"/>
      <c r="F26" s="1"/>
      <c r="G26" s="1"/>
      <c r="H26" s="1"/>
      <c r="I26" s="1"/>
      <c r="J26" s="1"/>
      <c r="K26" s="1"/>
      <c r="L26" s="1"/>
      <c r="M26" s="1"/>
    </row>
    <row r="27" customFormat="false" ht="15.75" hidden="false" customHeight="true" outlineLevel="0" collapsed="false">
      <c r="A27" s="1"/>
      <c r="B27" s="5" t="s">
        <v>9</v>
      </c>
      <c r="C27" s="1"/>
      <c r="D27" s="6" t="s">
        <v>10</v>
      </c>
      <c r="E27" s="1"/>
      <c r="F27" s="1"/>
      <c r="G27" s="1"/>
      <c r="H27" s="1"/>
      <c r="I27" s="1"/>
      <c r="J27" s="1"/>
      <c r="K27" s="1"/>
      <c r="L27" s="1"/>
      <c r="M27" s="1"/>
    </row>
    <row r="28" customFormat="false" ht="15.75" hidden="false" customHeight="true" outlineLevel="0" collapsed="false">
      <c r="A28" s="1"/>
      <c r="B28" s="1"/>
      <c r="C28" s="1"/>
      <c r="D28" s="1"/>
      <c r="E28" s="1"/>
      <c r="F28" s="1"/>
      <c r="G28" s="1"/>
      <c r="H28" s="1"/>
      <c r="I28" s="1"/>
      <c r="J28" s="1"/>
      <c r="K28" s="1"/>
      <c r="L28" s="1"/>
      <c r="M28" s="1"/>
    </row>
    <row r="29" customFormat="false" ht="15.75" hidden="false" customHeight="true" outlineLevel="0" collapsed="false">
      <c r="A29" s="1"/>
      <c r="B29" s="5" t="s">
        <v>11</v>
      </c>
      <c r="C29" s="1"/>
      <c r="D29" s="6" t="s">
        <v>12</v>
      </c>
      <c r="E29" s="1"/>
      <c r="F29" s="1"/>
      <c r="G29" s="1"/>
      <c r="H29" s="1"/>
      <c r="I29" s="1"/>
      <c r="J29" s="1"/>
      <c r="K29" s="1"/>
      <c r="L29" s="1"/>
      <c r="M29" s="1"/>
    </row>
    <row r="30" customFormat="false" ht="15.75" hidden="false" customHeight="true" outlineLevel="0" collapsed="false">
      <c r="A30" s="1"/>
      <c r="B30" s="1"/>
      <c r="C30" s="1"/>
      <c r="D30" s="1"/>
      <c r="E30" s="1"/>
      <c r="F30" s="1"/>
      <c r="G30" s="1"/>
      <c r="H30" s="1"/>
      <c r="I30" s="1"/>
      <c r="J30" s="1"/>
      <c r="K30" s="1"/>
      <c r="L30" s="1"/>
      <c r="M30" s="1"/>
    </row>
    <row r="31" customFormat="false" ht="15.75" hidden="false" customHeight="true" outlineLevel="0" collapsed="false">
      <c r="A31" s="1"/>
      <c r="B31" s="5" t="s">
        <v>13</v>
      </c>
      <c r="C31" s="1"/>
      <c r="D31" s="6" t="s">
        <v>14</v>
      </c>
      <c r="E31" s="1"/>
      <c r="F31" s="1"/>
      <c r="G31" s="1"/>
      <c r="H31" s="1"/>
      <c r="I31" s="1"/>
      <c r="J31" s="1"/>
      <c r="K31" s="1"/>
      <c r="L31" s="1"/>
      <c r="M31" s="1"/>
    </row>
    <row r="32" customFormat="false" ht="15.75" hidden="false" customHeight="true" outlineLevel="0" collapsed="false">
      <c r="A32" s="1"/>
      <c r="B32" s="1"/>
      <c r="C32" s="1"/>
      <c r="D32" s="1"/>
      <c r="E32" s="1"/>
      <c r="F32" s="1"/>
      <c r="G32" s="1"/>
      <c r="H32" s="1"/>
      <c r="I32" s="1"/>
      <c r="J32" s="1"/>
      <c r="K32" s="1"/>
      <c r="L32" s="1"/>
      <c r="M32" s="1"/>
    </row>
    <row r="33" customFormat="false" ht="15.75" hidden="false" customHeight="true" outlineLevel="0" collapsed="false">
      <c r="A33" s="1"/>
      <c r="B33" s="5" t="s">
        <v>15</v>
      </c>
      <c r="C33" s="1"/>
      <c r="D33" s="6" t="s">
        <v>16</v>
      </c>
      <c r="E33" s="1"/>
      <c r="F33" s="1"/>
      <c r="G33" s="1"/>
      <c r="H33" s="1"/>
      <c r="I33" s="1"/>
      <c r="J33" s="1"/>
      <c r="K33" s="1"/>
      <c r="L33" s="1"/>
      <c r="M33" s="1"/>
    </row>
    <row r="34" customFormat="false" ht="15.75" hidden="false" customHeight="true" outlineLevel="0" collapsed="false">
      <c r="A34" s="1"/>
      <c r="B34" s="1"/>
      <c r="C34" s="1"/>
      <c r="D34" s="1"/>
      <c r="E34" s="1"/>
      <c r="F34" s="1"/>
      <c r="G34" s="1"/>
      <c r="H34" s="1"/>
      <c r="I34" s="1"/>
      <c r="J34" s="1"/>
      <c r="K34" s="1"/>
      <c r="L34" s="1"/>
      <c r="M34" s="1"/>
    </row>
    <row r="35" customFormat="false" ht="27.75" hidden="false" customHeight="true" outlineLevel="0" collapsed="false">
      <c r="A35" s="1"/>
      <c r="B35" s="7" t="s">
        <v>17</v>
      </c>
      <c r="C35" s="7"/>
      <c r="D35" s="7"/>
      <c r="E35" s="7"/>
      <c r="F35" s="7"/>
      <c r="G35" s="1"/>
      <c r="H35" s="1"/>
      <c r="I35" s="1"/>
      <c r="J35" s="1"/>
      <c r="K35" s="1"/>
      <c r="L35" s="1"/>
      <c r="M35" s="1"/>
    </row>
    <row r="36" customFormat="false" ht="15.75" hidden="false" customHeight="true" outlineLevel="0" collapsed="false">
      <c r="A36" s="1"/>
      <c r="B36" s="1"/>
      <c r="C36" s="1"/>
      <c r="D36" s="1"/>
      <c r="E36" s="1"/>
      <c r="F36" s="1"/>
      <c r="G36" s="1"/>
      <c r="H36" s="1"/>
      <c r="I36" s="1"/>
      <c r="J36" s="1"/>
      <c r="K36" s="1"/>
      <c r="L36" s="1"/>
      <c r="M36" s="1"/>
    </row>
    <row r="37" customFormat="false" ht="24" hidden="false" customHeight="true" outlineLevel="0" collapsed="false">
      <c r="A37" s="1"/>
      <c r="B37" s="8" t="s">
        <v>18</v>
      </c>
      <c r="C37" s="8"/>
      <c r="D37" s="8"/>
      <c r="E37" s="8"/>
      <c r="F37" s="8"/>
      <c r="G37" s="1"/>
      <c r="H37" s="9" t="s">
        <v>19</v>
      </c>
      <c r="I37" s="1"/>
      <c r="J37" s="1"/>
      <c r="K37" s="1"/>
      <c r="L37" s="1"/>
      <c r="M37" s="1"/>
    </row>
    <row r="38" customFormat="false" ht="15.75" hidden="false" customHeight="true" outlineLevel="0" collapsed="false">
      <c r="A38" s="1"/>
      <c r="B38" s="1"/>
      <c r="C38" s="1"/>
      <c r="D38" s="1"/>
      <c r="E38" s="1"/>
      <c r="F38" s="1"/>
      <c r="G38" s="1"/>
      <c r="H38" s="9" t="s">
        <v>20</v>
      </c>
      <c r="I38" s="1"/>
      <c r="J38" s="1"/>
      <c r="K38" s="1"/>
      <c r="L38" s="1"/>
      <c r="M38" s="1"/>
    </row>
    <row r="39" customFormat="false" ht="15.75" hidden="false" customHeight="true" outlineLevel="0" collapsed="false">
      <c r="A39" s="1"/>
      <c r="B39" s="1"/>
      <c r="C39" s="1"/>
      <c r="D39" s="1"/>
      <c r="E39" s="1"/>
      <c r="F39" s="1"/>
      <c r="G39" s="1"/>
      <c r="H39" s="9" t="s">
        <v>21</v>
      </c>
      <c r="I39" s="1"/>
      <c r="J39" s="1"/>
      <c r="K39" s="1"/>
      <c r="L39" s="1"/>
      <c r="M39" s="1"/>
    </row>
    <row r="40" customFormat="false" ht="15.75" hidden="false" customHeight="true" outlineLevel="0" collapsed="false">
      <c r="A40" s="1"/>
      <c r="B40" s="1"/>
      <c r="C40" s="1"/>
      <c r="D40" s="1"/>
      <c r="E40" s="1"/>
      <c r="F40" s="1"/>
      <c r="G40" s="1"/>
      <c r="H40" s="1"/>
      <c r="I40" s="1"/>
      <c r="J40" s="1"/>
      <c r="K40" s="1"/>
      <c r="L40" s="1"/>
      <c r="M40" s="1"/>
    </row>
    <row r="41" customFormat="false" ht="15.75" hidden="false" customHeight="true" outlineLevel="0" collapsed="false">
      <c r="A41" s="1"/>
      <c r="B41" s="1"/>
      <c r="C41" s="1"/>
      <c r="D41" s="1"/>
      <c r="E41" s="1"/>
      <c r="F41" s="1"/>
      <c r="G41" s="1"/>
      <c r="H41" s="1"/>
      <c r="I41" s="1"/>
      <c r="J41" s="1"/>
      <c r="K41" s="1"/>
      <c r="L41" s="1"/>
      <c r="M41" s="1"/>
    </row>
    <row r="42" customFormat="false" ht="13.5" hidden="false" customHeight="true" outlineLevel="0" collapsed="false">
      <c r="A42" s="1"/>
      <c r="B42" s="10" t="s">
        <v>22</v>
      </c>
      <c r="C42" s="10"/>
      <c r="D42" s="10"/>
      <c r="E42" s="10"/>
      <c r="F42" s="10"/>
      <c r="G42" s="10"/>
      <c r="H42" s="10"/>
      <c r="I42" s="10"/>
      <c r="J42" s="10"/>
      <c r="K42" s="10"/>
      <c r="L42" s="10"/>
      <c r="M42" s="1"/>
    </row>
    <row r="43" customFormat="false" ht="13.5" hidden="false" customHeight="true" outlineLevel="0" collapsed="false">
      <c r="A43" s="1"/>
      <c r="B43" s="10"/>
      <c r="C43" s="10"/>
      <c r="D43" s="10"/>
      <c r="E43" s="10"/>
      <c r="F43" s="10"/>
      <c r="G43" s="10"/>
      <c r="H43" s="10"/>
      <c r="I43" s="10"/>
      <c r="J43" s="10"/>
      <c r="K43" s="10"/>
      <c r="L43" s="10"/>
      <c r="M43" s="1"/>
    </row>
    <row r="44" customFormat="false" ht="13.5" hidden="false" customHeight="true" outlineLevel="0" collapsed="false">
      <c r="A44" s="1"/>
      <c r="B44" s="10"/>
      <c r="C44" s="10"/>
      <c r="D44" s="10"/>
      <c r="E44" s="10"/>
      <c r="F44" s="10"/>
      <c r="G44" s="10"/>
      <c r="H44" s="10"/>
      <c r="I44" s="10"/>
      <c r="J44" s="10"/>
      <c r="K44" s="10"/>
      <c r="L44" s="10"/>
      <c r="M44" s="1"/>
    </row>
    <row r="45" customFormat="false" ht="13.5" hidden="false" customHeight="true" outlineLevel="0" collapsed="false">
      <c r="A45" s="1"/>
      <c r="B45" s="10"/>
      <c r="C45" s="10"/>
      <c r="D45" s="10"/>
      <c r="E45" s="10"/>
      <c r="F45" s="10"/>
      <c r="G45" s="10"/>
      <c r="H45" s="10"/>
      <c r="I45" s="10"/>
      <c r="J45" s="10"/>
      <c r="K45" s="10"/>
      <c r="L45" s="10"/>
      <c r="M45" s="1"/>
    </row>
    <row r="46" customFormat="false" ht="15.75" hidden="false" customHeight="true" outlineLevel="0" collapsed="false">
      <c r="A46" s="1"/>
      <c r="B46" s="1"/>
      <c r="C46" s="1"/>
      <c r="D46" s="1"/>
      <c r="E46" s="1"/>
      <c r="F46" s="1"/>
      <c r="G46" s="1"/>
      <c r="H46" s="1"/>
      <c r="I46" s="1"/>
      <c r="J46" s="1"/>
      <c r="K46" s="1"/>
      <c r="L46" s="1"/>
      <c r="M46" s="1"/>
    </row>
    <row r="47" customFormat="false" ht="15" hidden="true" customHeight="false" outlineLevel="0" collapsed="false"/>
    <row r="48" customFormat="false" ht="15" hidden="true" customHeight="false" outlineLevel="0" collapsed="false"/>
    <row r="49" customFormat="false" ht="15" hidden="true" customHeight="false" outlineLevel="0" collapsed="false"/>
    <row r="50" customFormat="false" ht="15" hidden="true" customHeight="false" outlineLevel="0" collapsed="false"/>
    <row r="51" customFormat="false" ht="15" hidden="true" customHeight="false" outlineLevel="0" collapsed="false"/>
    <row r="52" customFormat="false" ht="15" hidden="true" customHeight="false" outlineLevel="0" collapsed="false"/>
    <row r="53" customFormat="false" ht="15" hidden="true" customHeight="false" outlineLevel="0" collapsed="false"/>
    <row r="54" customFormat="false" ht="15" hidden="true" customHeight="false" outlineLevel="0" collapsed="false"/>
    <row r="55" customFormat="false" ht="15" hidden="true" customHeight="false" outlineLevel="0" collapsed="false"/>
    <row r="56" customFormat="false" ht="15" hidden="true" customHeight="false" outlineLevel="0" collapsed="false"/>
    <row r="57" customFormat="false" ht="15" hidden="true" customHeight="false" outlineLevel="0" collapsed="false"/>
    <row r="58" customFormat="false" ht="15" hidden="true" customHeight="false" outlineLevel="0" collapsed="false"/>
    <row r="59" customFormat="false" ht="15" hidden="true" customHeight="false" outlineLevel="0" collapsed="false"/>
    <row r="60" customFormat="false" ht="15" hidden="true" customHeight="false" outlineLevel="0" collapsed="false"/>
    <row r="61" customFormat="false" ht="15" hidden="true" customHeight="false" outlineLevel="0" collapsed="false"/>
    <row r="62" customFormat="false" ht="15" hidden="true" customHeight="false" outlineLevel="0" collapsed="false"/>
    <row r="63" customFormat="false" ht="15" hidden="true" customHeight="false" outlineLevel="0" collapsed="false"/>
    <row r="64" customFormat="false" ht="15" hidden="true" customHeight="false" outlineLevel="0" collapsed="false"/>
    <row r="65" customFormat="false" ht="15" hidden="true" customHeight="false" outlineLevel="0" collapsed="false"/>
    <row r="66" customFormat="false" ht="15" hidden="true" customHeight="false" outlineLevel="0" collapsed="false"/>
    <row r="67" customFormat="false" ht="15" hidden="true" customHeight="false" outlineLevel="0" collapsed="false"/>
    <row r="68" customFormat="false" ht="15" hidden="true" customHeight="false" outlineLevel="0" collapsed="false"/>
    <row r="69" customFormat="false" ht="15" hidden="true" customHeight="false" outlineLevel="0" collapsed="false"/>
    <row r="70" customFormat="false" ht="15" hidden="true" customHeight="false" outlineLevel="0" collapsed="false"/>
    <row r="71" customFormat="false" ht="15" hidden="true" customHeight="false" outlineLevel="0" collapsed="false"/>
    <row r="72" customFormat="false" ht="15" hidden="true" customHeight="false" outlineLevel="0" collapsed="false"/>
    <row r="73" customFormat="false" ht="15" hidden="true" customHeight="false" outlineLevel="0" collapsed="false"/>
    <row r="74" customFormat="false" ht="15" hidden="true" customHeight="false" outlineLevel="0" collapsed="false"/>
    <row r="75" customFormat="false" ht="15" hidden="true" customHeight="false" outlineLevel="0" collapsed="false"/>
    <row r="76" customFormat="false" ht="15" hidden="true" customHeight="false" outlineLevel="0" collapsed="false"/>
    <row r="77" customFormat="false" ht="15" hidden="true" customHeight="false" outlineLevel="0" collapsed="false"/>
    <row r="78" customFormat="false" ht="15" hidden="true" customHeight="false" outlineLevel="0" collapsed="false"/>
    <row r="79" customFormat="false" ht="15" hidden="true" customHeight="false" outlineLevel="0" collapsed="false"/>
    <row r="80" customFormat="false" ht="15" hidden="true" customHeight="false" outlineLevel="0" collapsed="false"/>
    <row r="81" customFormat="false" ht="15" hidden="true" customHeight="false" outlineLevel="0" collapsed="false"/>
    <row r="82" customFormat="false" ht="15" hidden="true" customHeight="false" outlineLevel="0" collapsed="false"/>
    <row r="83" customFormat="false" ht="15" hidden="true" customHeight="false" outlineLevel="0" collapsed="false"/>
    <row r="84" customFormat="false" ht="15" hidden="true" customHeight="false" outlineLevel="0" collapsed="false"/>
    <row r="85" customFormat="false" ht="15" hidden="true" customHeight="false" outlineLevel="0" collapsed="false"/>
    <row r="86" customFormat="false" ht="15" hidden="true" customHeight="false" outlineLevel="0" collapsed="false"/>
    <row r="87" customFormat="false" ht="15" hidden="true" customHeight="false" outlineLevel="0" collapsed="false"/>
    <row r="88" customFormat="false" ht="15" hidden="true" customHeight="false" outlineLevel="0" collapsed="false"/>
    <row r="89" customFormat="false" ht="15" hidden="true" customHeight="false" outlineLevel="0" collapsed="false"/>
    <row r="90" customFormat="false" ht="15" hidden="true" customHeight="false" outlineLevel="0" collapsed="false"/>
    <row r="91" customFormat="false" ht="15" hidden="true" customHeight="false" outlineLevel="0" collapsed="false"/>
    <row r="92" customFormat="false" ht="15" hidden="true" customHeight="false" outlineLevel="0" collapsed="false"/>
    <row r="93" customFormat="false" ht="15" hidden="true" customHeight="false" outlineLevel="0" collapsed="false"/>
    <row r="94" customFormat="false" ht="15" hidden="true" customHeight="false" outlineLevel="0" collapsed="false"/>
    <row r="95" customFormat="false" ht="15" hidden="true" customHeight="false" outlineLevel="0" collapsed="false"/>
    <row r="96" customFormat="false" ht="15" hidden="true" customHeight="false" outlineLevel="0" collapsed="false"/>
    <row r="97" customFormat="false" ht="15" hidden="true" customHeight="false" outlineLevel="0" collapsed="false"/>
    <row r="98" customFormat="false" ht="15" hidden="true" customHeight="false" outlineLevel="0" collapsed="false"/>
    <row r="99" customFormat="false" ht="15" hidden="true" customHeight="false" outlineLevel="0" collapsed="false"/>
    <row r="100" customFormat="false" ht="15" hidden="true" customHeight="false" outlineLevel="0" collapsed="false"/>
    <row r="101" customFormat="false" ht="15" hidden="true" customHeight="false" outlineLevel="0" collapsed="false"/>
    <row r="102" customFormat="false" ht="15" hidden="true" customHeight="false" outlineLevel="0" collapsed="false"/>
    <row r="103" customFormat="false" ht="15" hidden="true" customHeight="false" outlineLevel="0" collapsed="false"/>
    <row r="104" customFormat="false" ht="15" hidden="true" customHeight="false" outlineLevel="0" collapsed="false"/>
    <row r="105" customFormat="false" ht="15" hidden="true" customHeight="false" outlineLevel="0" collapsed="false"/>
    <row r="106" customFormat="false" ht="15" hidden="true" customHeight="false" outlineLevel="0" collapsed="false"/>
    <row r="107" customFormat="false" ht="15" hidden="true" customHeight="false" outlineLevel="0" collapsed="false"/>
    <row r="108" customFormat="false" ht="15" hidden="true" customHeight="false" outlineLevel="0" collapsed="false"/>
    <row r="109" customFormat="false" ht="15" hidden="true" customHeight="false" outlineLevel="0" collapsed="false"/>
    <row r="110" customFormat="false" ht="15" hidden="true" customHeight="false" outlineLevel="0" collapsed="false"/>
    <row r="111" customFormat="false" ht="15" hidden="true" customHeight="false" outlineLevel="0" collapsed="false"/>
    <row r="112" customFormat="false" ht="15" hidden="true" customHeight="false" outlineLevel="0" collapsed="false"/>
    <row r="113" customFormat="false" ht="15" hidden="true" customHeight="false" outlineLevel="0" collapsed="false"/>
    <row r="114" customFormat="false" ht="15" hidden="true" customHeight="false" outlineLevel="0" collapsed="false"/>
    <row r="115" customFormat="false" ht="15" hidden="true" customHeight="false" outlineLevel="0" collapsed="false"/>
    <row r="116" customFormat="false" ht="15" hidden="true" customHeight="false" outlineLevel="0" collapsed="false"/>
    <row r="117" customFormat="false" ht="15" hidden="true" customHeight="false" outlineLevel="0" collapsed="false"/>
    <row r="118" customFormat="false" ht="15" hidden="true" customHeight="false" outlineLevel="0" collapsed="false"/>
    <row r="119" customFormat="false" ht="15" hidden="true" customHeight="false" outlineLevel="0" collapsed="false"/>
    <row r="120" customFormat="false" ht="15" hidden="true" customHeight="false" outlineLevel="0" collapsed="false"/>
    <row r="121" customFormat="false" ht="15" hidden="true" customHeight="false" outlineLevel="0" collapsed="false"/>
    <row r="122" customFormat="false" ht="15" hidden="true" customHeight="false" outlineLevel="0" collapsed="false"/>
    <row r="123" customFormat="false" ht="15" hidden="true" customHeight="false" outlineLevel="0" collapsed="false"/>
    <row r="124" customFormat="false" ht="15" hidden="true" customHeight="false" outlineLevel="0" collapsed="false"/>
    <row r="125" customFormat="false" ht="15" hidden="true" customHeight="false" outlineLevel="0" collapsed="false"/>
    <row r="126" customFormat="false" ht="15" hidden="true" customHeight="false" outlineLevel="0" collapsed="false"/>
    <row r="127" customFormat="false" ht="15" hidden="true" customHeight="false" outlineLevel="0" collapsed="false"/>
    <row r="128" customFormat="false" ht="15" hidden="true" customHeight="false" outlineLevel="0" collapsed="false"/>
    <row r="129" customFormat="false" ht="15" hidden="true" customHeight="false" outlineLevel="0" collapsed="false"/>
    <row r="130" customFormat="false" ht="15" hidden="true" customHeight="false" outlineLevel="0" collapsed="false"/>
    <row r="131" customFormat="false" ht="15" hidden="true" customHeight="false" outlineLevel="0" collapsed="false"/>
    <row r="132" customFormat="false" ht="15" hidden="true" customHeight="false" outlineLevel="0" collapsed="false"/>
    <row r="133" customFormat="false" ht="15" hidden="true" customHeight="false" outlineLevel="0" collapsed="false"/>
    <row r="134" customFormat="false" ht="15" hidden="true" customHeight="false" outlineLevel="0" collapsed="false"/>
    <row r="135" customFormat="false" ht="15" hidden="true" customHeight="false" outlineLevel="0" collapsed="false"/>
    <row r="136" customFormat="false" ht="15" hidden="true" customHeight="false" outlineLevel="0" collapsed="false"/>
    <row r="137" customFormat="false" ht="15" hidden="true" customHeight="false" outlineLevel="0" collapsed="false"/>
    <row r="138" customFormat="false" ht="15" hidden="true" customHeight="false" outlineLevel="0" collapsed="false"/>
    <row r="139" customFormat="false" ht="15" hidden="true" customHeight="false" outlineLevel="0" collapsed="false"/>
  </sheetData>
  <mergeCells count="3">
    <mergeCell ref="B35:F35"/>
    <mergeCell ref="B37:F37"/>
    <mergeCell ref="B42:L45"/>
  </mergeCells>
  <hyperlinks>
    <hyperlink ref="B35" r:id="rId1" location="'02_Executive_Dashboard'!B2" display="▶   ENTER EXECUTIVE DASHBOARD"/>
    <hyperlink ref="B37" r:id="rId2" location="'01_Read_Me'!B2" display="▷   READ MODEL GUIDE"/>
  </hyperlinks>
  <printOptions headings="false" gridLines="false" gridLinesSet="true" horizontalCentered="false" verticalCentered="false"/>
  <pageMargins left="0.75" right="0.75" top="1" bottom="1" header="0.5" footer="0.5"/>
  <pageSetup paperSize="1" scale="100" fitToWidth="1" fitToHeight="1" pageOrder="downThenOver" orientation="landscape"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AEC6"/>
    <pageSetUpPr fitToPage="false"/>
  </sheetPr>
  <dimension ref="B2:J17"/>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1" ySplit="8" topLeftCell="B9" activePane="bottomRight" state="frozen"/>
      <selection pane="topLeft" activeCell="A1" activeCellId="0" sqref="A1"/>
      <selection pane="topRight" activeCell="B1" activeCellId="0" sqref="B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2" min="2" style="0" width="24"/>
    <col collapsed="false" customWidth="true" hidden="false" outlineLevel="0" max="3" min="3" style="0" width="12"/>
    <col collapsed="false" customWidth="true" hidden="false" outlineLevel="0" max="4" min="4" style="0" width="9"/>
    <col collapsed="false" customWidth="true" hidden="false" outlineLevel="0" max="5" min="5" style="0" width="11"/>
    <col collapsed="false" customWidth="true" hidden="false" outlineLevel="0" max="6" min="6" style="0" width="16"/>
    <col collapsed="false" customWidth="true" hidden="false" outlineLevel="0" max="7" min="7" style="0" width="13"/>
    <col collapsed="false" customWidth="true" hidden="false" outlineLevel="0" max="8" min="8" style="0" width="9"/>
    <col collapsed="false" customWidth="true" hidden="false" outlineLevel="0" max="9" min="9" style="0" width="12"/>
    <col collapsed="false" customWidth="true" hidden="false" outlineLevel="0" max="10" min="10" style="0" width="20"/>
  </cols>
  <sheetData>
    <row r="2" customFormat="false" ht="24" hidden="false" customHeight="true" outlineLevel="0" collapsed="false">
      <c r="E2" s="11" t="s">
        <v>374</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375</v>
      </c>
    </row>
    <row r="6" customFormat="false" ht="15" hidden="false" customHeight="false" outlineLevel="0" collapsed="false">
      <c r="B6" s="15" t="s">
        <v>376</v>
      </c>
    </row>
    <row r="8" customFormat="false" ht="19.5" hidden="false" customHeight="true" outlineLevel="0" collapsed="false">
      <c r="B8" s="41" t="s">
        <v>377</v>
      </c>
      <c r="C8" s="41" t="s">
        <v>378</v>
      </c>
      <c r="D8" s="41" t="s">
        <v>379</v>
      </c>
      <c r="E8" s="41" t="s">
        <v>380</v>
      </c>
      <c r="F8" s="41" t="s">
        <v>381</v>
      </c>
      <c r="G8" s="41" t="s">
        <v>382</v>
      </c>
      <c r="H8" s="41" t="s">
        <v>383</v>
      </c>
      <c r="I8" s="41" t="s">
        <v>384</v>
      </c>
      <c r="J8" s="41" t="s">
        <v>222</v>
      </c>
    </row>
    <row r="9" customFormat="false" ht="15" hidden="false" customHeight="false" outlineLevel="0" collapsed="false">
      <c r="B9" s="42" t="s">
        <v>385</v>
      </c>
      <c r="C9" s="55" t="n">
        <v>29.08</v>
      </c>
      <c r="D9" s="42" t="s">
        <v>386</v>
      </c>
      <c r="E9" s="56" t="n">
        <f aca="false">C9/1.15</f>
        <v>25.2869565217391</v>
      </c>
      <c r="F9" s="42" t="s">
        <v>208</v>
      </c>
      <c r="G9" s="42" t="s">
        <v>208</v>
      </c>
      <c r="H9" s="42" t="s">
        <v>387</v>
      </c>
      <c r="I9" s="56" t="n">
        <v>25.29</v>
      </c>
      <c r="J9" s="42" t="s">
        <v>268</v>
      </c>
    </row>
    <row r="10" customFormat="false" ht="15" hidden="false" customHeight="false" outlineLevel="0" collapsed="false">
      <c r="B10" s="42" t="s">
        <v>388</v>
      </c>
      <c r="C10" s="55" t="n">
        <v>26.17</v>
      </c>
      <c r="D10" s="42" t="s">
        <v>386</v>
      </c>
      <c r="E10" s="56" t="n">
        <f aca="false">C10/1.15</f>
        <v>22.7565217391304</v>
      </c>
      <c r="F10" s="42" t="s">
        <v>208</v>
      </c>
      <c r="G10" s="42" t="s">
        <v>208</v>
      </c>
      <c r="H10" s="42" t="s">
        <v>387</v>
      </c>
      <c r="I10" s="56" t="n">
        <v>22.75</v>
      </c>
      <c r="J10" s="42" t="s">
        <v>268</v>
      </c>
    </row>
    <row r="11" customFormat="false" ht="15" hidden="false" customHeight="false" outlineLevel="0" collapsed="false">
      <c r="B11" s="42" t="s">
        <v>389</v>
      </c>
      <c r="C11" s="55" t="n">
        <v>24</v>
      </c>
      <c r="D11" s="42" t="s">
        <v>386</v>
      </c>
      <c r="E11" s="56" t="n">
        <f aca="false">C11/1.15</f>
        <v>20.8695652173913</v>
      </c>
      <c r="F11" s="42" t="s">
        <v>390</v>
      </c>
      <c r="G11" s="42" t="s">
        <v>391</v>
      </c>
      <c r="H11" s="42" t="s">
        <v>387</v>
      </c>
      <c r="I11" s="56" t="n">
        <v>12.52</v>
      </c>
      <c r="J11" s="42" t="s">
        <v>230</v>
      </c>
    </row>
    <row r="12" customFormat="false" ht="15" hidden="false" customHeight="false" outlineLevel="0" collapsed="false">
      <c r="B12" s="42" t="s">
        <v>392</v>
      </c>
      <c r="C12" s="42" t="s">
        <v>208</v>
      </c>
      <c r="D12" s="42" t="s">
        <v>208</v>
      </c>
      <c r="E12" s="42" t="s">
        <v>208</v>
      </c>
      <c r="F12" s="42" t="s">
        <v>393</v>
      </c>
      <c r="G12" s="42" t="s">
        <v>208</v>
      </c>
      <c r="H12" s="42" t="s">
        <v>387</v>
      </c>
      <c r="I12" s="56" t="n">
        <v>15</v>
      </c>
      <c r="J12" s="42" t="s">
        <v>268</v>
      </c>
    </row>
    <row r="13" customFormat="false" ht="15" hidden="false" customHeight="false" outlineLevel="0" collapsed="false">
      <c r="B13" s="42" t="s">
        <v>394</v>
      </c>
      <c r="C13" s="55" t="n">
        <v>55</v>
      </c>
      <c r="D13" s="42" t="s">
        <v>386</v>
      </c>
      <c r="E13" s="56" t="n">
        <f aca="false">C13/1.15</f>
        <v>47.8260869565217</v>
      </c>
      <c r="F13" s="42" t="s">
        <v>390</v>
      </c>
      <c r="G13" s="42" t="s">
        <v>395</v>
      </c>
      <c r="H13" s="42" t="s">
        <v>387</v>
      </c>
      <c r="I13" s="56" t="n">
        <v>28.7</v>
      </c>
      <c r="J13" s="42" t="s">
        <v>230</v>
      </c>
    </row>
    <row r="15" customFormat="false" ht="15" hidden="false" customHeight="true" outlineLevel="0" collapsed="false">
      <c r="B15" s="54" t="s">
        <v>48</v>
      </c>
      <c r="C15" s="54"/>
      <c r="D15" s="54"/>
      <c r="E15" s="54"/>
      <c r="F15" s="54"/>
      <c r="G15" s="54"/>
      <c r="H15" s="54"/>
      <c r="I15" s="54"/>
      <c r="J15" s="54"/>
    </row>
    <row r="16" customFormat="false" ht="15" hidden="false" customHeight="false" outlineLevel="0" collapsed="false">
      <c r="B16" s="54"/>
      <c r="C16" s="54"/>
      <c r="D16" s="54"/>
      <c r="E16" s="54"/>
      <c r="F16" s="54"/>
      <c r="G16" s="54"/>
      <c r="H16" s="54"/>
      <c r="I16" s="54"/>
      <c r="J16" s="54"/>
    </row>
    <row r="17" customFormat="false" ht="15" hidden="false" customHeight="false" outlineLevel="0" collapsed="false">
      <c r="B17" s="54"/>
      <c r="C17" s="54"/>
      <c r="D17" s="54"/>
      <c r="E17" s="54"/>
      <c r="F17" s="54"/>
      <c r="G17" s="54"/>
      <c r="H17" s="54"/>
      <c r="I17" s="54"/>
      <c r="J17" s="54"/>
    </row>
  </sheetData>
  <mergeCells count="1">
    <mergeCell ref="B15:J17"/>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L33"/>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A1" activeCellId="0" sqref="A1"/>
    </sheetView>
  </sheetViews>
  <sheetFormatPr defaultColWidth="8.6796875" defaultRowHeight="15" zeroHeight="false" outlineLevelRow="0" outlineLevelCol="0"/>
  <cols>
    <col collapsed="false" customWidth="true" hidden="false" outlineLevel="0" max="2" min="2" style="0" width="24"/>
    <col collapsed="false" customWidth="true" hidden="false" outlineLevel="0" max="3" min="3" style="0" width="13"/>
    <col collapsed="false" customWidth="true" hidden="false" outlineLevel="0" max="4" min="4" style="0" width="11"/>
    <col collapsed="false" customWidth="true" hidden="false" outlineLevel="0" max="5" min="5" style="0" width="10"/>
    <col collapsed="false" customWidth="true" hidden="false" outlineLevel="0" max="6" min="6" style="0" width="12"/>
    <col collapsed="false" customWidth="true" hidden="false" outlineLevel="0" max="7" min="7" style="0" width="13"/>
    <col collapsed="false" customWidth="true" hidden="false" outlineLevel="0" max="8" min="8" style="0" width="10"/>
    <col collapsed="false" customWidth="true" hidden="false" outlineLevel="0" max="9" min="9" style="0" width="12"/>
    <col collapsed="false" customWidth="true" hidden="false" outlineLevel="0" max="10" min="10" style="0" width="9"/>
    <col collapsed="false" customWidth="true" hidden="false" outlineLevel="0" max="11" min="11" style="0" width="13"/>
    <col collapsed="false" customWidth="true" hidden="false" outlineLevel="0" max="12" min="12" style="0" width="9"/>
  </cols>
  <sheetData>
    <row r="2" customFormat="false" ht="24" hidden="false" customHeight="true" outlineLevel="0" collapsed="false">
      <c r="E2" s="11" t="s">
        <v>396</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397</v>
      </c>
    </row>
    <row r="6" customFormat="false" ht="15" hidden="false" customHeight="false" outlineLevel="0" collapsed="false">
      <c r="B6" s="15" t="s">
        <v>398</v>
      </c>
    </row>
    <row r="8" customFormat="false" ht="19.5" hidden="false" customHeight="true" outlineLevel="0" collapsed="false">
      <c r="B8" s="21" t="s">
        <v>399</v>
      </c>
      <c r="C8" s="21"/>
      <c r="D8" s="21"/>
      <c r="E8" s="21"/>
      <c r="F8" s="21"/>
      <c r="G8" s="21"/>
      <c r="H8" s="21"/>
      <c r="I8" s="21"/>
      <c r="J8" s="21"/>
      <c r="K8" s="21"/>
      <c r="L8" s="21"/>
    </row>
    <row r="9" customFormat="false" ht="19.5" hidden="false" customHeight="true" outlineLevel="0" collapsed="false">
      <c r="B9" s="41" t="s">
        <v>377</v>
      </c>
      <c r="C9" s="41" t="s">
        <v>400</v>
      </c>
      <c r="D9" s="41" t="s">
        <v>401</v>
      </c>
      <c r="E9" s="41" t="s">
        <v>402</v>
      </c>
      <c r="F9" s="41" t="s">
        <v>403</v>
      </c>
      <c r="G9" s="41" t="s">
        <v>404</v>
      </c>
      <c r="H9" s="41" t="s">
        <v>383</v>
      </c>
      <c r="I9" s="41" t="s">
        <v>405</v>
      </c>
      <c r="J9" s="41" t="s">
        <v>406</v>
      </c>
      <c r="K9" s="41" t="s">
        <v>407</v>
      </c>
      <c r="L9" s="41" t="s">
        <v>408</v>
      </c>
    </row>
    <row r="10" customFormat="false" ht="15" hidden="false" customHeight="false" outlineLevel="0" collapsed="false">
      <c r="B10" s="42" t="s">
        <v>409</v>
      </c>
      <c r="C10" s="55" t="n">
        <v>29.08</v>
      </c>
      <c r="D10" s="57" t="n">
        <f aca="false">C10/1.15</f>
        <v>25.2869565217391</v>
      </c>
      <c r="E10" s="55" t="n">
        <v>8.5</v>
      </c>
      <c r="F10" s="55" t="n">
        <v>4</v>
      </c>
      <c r="G10" s="55" t="n">
        <v>0.51</v>
      </c>
      <c r="H10" s="55" t="n">
        <v>0.25</v>
      </c>
      <c r="I10" s="57" t="n">
        <f aca="false">D10-E10</f>
        <v>16.7869565217391</v>
      </c>
      <c r="J10" s="58" t="n">
        <f aca="false">I10/D10</f>
        <v>0.663858321870702</v>
      </c>
      <c r="K10" s="57" t="n">
        <f aca="false">I10-F10-G10-H10</f>
        <v>12.0269565217391</v>
      </c>
      <c r="L10" s="58" t="n">
        <f aca="false">K10/D10</f>
        <v>0.475618982118294</v>
      </c>
    </row>
    <row r="11" customFormat="false" ht="15" hidden="false" customHeight="false" outlineLevel="0" collapsed="false">
      <c r="B11" s="42" t="s">
        <v>123</v>
      </c>
      <c r="C11" s="55" t="n">
        <v>26.16</v>
      </c>
      <c r="D11" s="57" t="n">
        <f aca="false">C11/1.15</f>
        <v>22.7478260869565</v>
      </c>
      <c r="E11" s="55" t="n">
        <v>8.5</v>
      </c>
      <c r="F11" s="55" t="n">
        <v>4</v>
      </c>
      <c r="G11" s="55" t="n">
        <v>0.46</v>
      </c>
      <c r="H11" s="55" t="n">
        <v>0.23</v>
      </c>
      <c r="I11" s="57" t="n">
        <f aca="false">D11-E11</f>
        <v>14.2478260869565</v>
      </c>
      <c r="J11" s="58" t="n">
        <f aca="false">I11/D11</f>
        <v>0.626337920489297</v>
      </c>
      <c r="K11" s="57" t="n">
        <f aca="false">I11-F11-G11-H11</f>
        <v>9.55782608695652</v>
      </c>
      <c r="L11" s="58" t="n">
        <f aca="false">K11/D11</f>
        <v>0.420164373088685</v>
      </c>
    </row>
    <row r="12" customFormat="false" ht="15" hidden="false" customHeight="false" outlineLevel="0" collapsed="false">
      <c r="B12" s="42" t="s">
        <v>410</v>
      </c>
      <c r="C12" s="55" t="n">
        <v>17.25</v>
      </c>
      <c r="D12" s="57" t="n">
        <f aca="false">C12/1.15</f>
        <v>15</v>
      </c>
      <c r="E12" s="55" t="n">
        <v>8.5</v>
      </c>
      <c r="F12" s="55" t="n">
        <v>1</v>
      </c>
      <c r="G12" s="55" t="n">
        <v>0</v>
      </c>
      <c r="H12" s="55" t="n">
        <v>0.15</v>
      </c>
      <c r="I12" s="57" t="n">
        <f aca="false">D12-E12</f>
        <v>6.5</v>
      </c>
      <c r="J12" s="58" t="n">
        <f aca="false">I12/D12</f>
        <v>0.433333333333333</v>
      </c>
      <c r="K12" s="57" t="n">
        <f aca="false">I12-F12-G12-H12</f>
        <v>5.35</v>
      </c>
      <c r="L12" s="58" t="n">
        <f aca="false">K12/D12</f>
        <v>0.356666666666667</v>
      </c>
    </row>
    <row r="13" customFormat="false" ht="15" hidden="false" customHeight="false" outlineLevel="0" collapsed="false">
      <c r="B13" s="42" t="s">
        <v>411</v>
      </c>
      <c r="C13" s="55" t="n">
        <v>14.4</v>
      </c>
      <c r="D13" s="57" t="n">
        <f aca="false">C13/1.15</f>
        <v>12.5217391304348</v>
      </c>
      <c r="E13" s="55" t="n">
        <v>7</v>
      </c>
      <c r="F13" s="55" t="n">
        <v>0.5</v>
      </c>
      <c r="G13" s="55" t="n">
        <v>1.25</v>
      </c>
      <c r="H13" s="55" t="n">
        <v>0.13</v>
      </c>
      <c r="I13" s="57" t="n">
        <f aca="false">D13-E13</f>
        <v>5.52173913043478</v>
      </c>
      <c r="J13" s="58" t="n">
        <f aca="false">I13/D13</f>
        <v>0.440972222222222</v>
      </c>
      <c r="K13" s="57" t="n">
        <f aca="false">I13-F13-G13-H13</f>
        <v>3.64173913043478</v>
      </c>
      <c r="L13" s="58" t="n">
        <f aca="false">K13/D13</f>
        <v>0.290833333333333</v>
      </c>
    </row>
    <row r="14" customFormat="false" ht="15" hidden="false" customHeight="false" outlineLevel="0" collapsed="false">
      <c r="B14" s="42" t="s">
        <v>412</v>
      </c>
      <c r="C14" s="55" t="n">
        <v>58.99</v>
      </c>
      <c r="D14" s="57" t="n">
        <f aca="false">C14/1.15</f>
        <v>51.2956521739131</v>
      </c>
      <c r="E14" s="55" t="n">
        <v>16.5</v>
      </c>
      <c r="F14" s="55" t="n">
        <v>6.5</v>
      </c>
      <c r="G14" s="55" t="n">
        <v>1.03</v>
      </c>
      <c r="H14" s="55" t="n">
        <v>0.51</v>
      </c>
      <c r="I14" s="57" t="n">
        <f aca="false">D14-E14</f>
        <v>34.7956521739131</v>
      </c>
      <c r="J14" s="58" t="n">
        <f aca="false">I14/D14</f>
        <v>0.678335311069673</v>
      </c>
      <c r="K14" s="57" t="n">
        <f aca="false">I14-F14-G14-H14</f>
        <v>26.755652173913</v>
      </c>
      <c r="L14" s="58" t="n">
        <f aca="false">K14/D14</f>
        <v>0.521596880827259</v>
      </c>
    </row>
    <row r="15" customFormat="false" ht="15" hidden="false" customHeight="false" outlineLevel="0" collapsed="false">
      <c r="B15" s="42" t="s">
        <v>413</v>
      </c>
      <c r="C15" s="55" t="n">
        <v>32.2</v>
      </c>
      <c r="D15" s="57" t="n">
        <f aca="false">C15/1.15</f>
        <v>28</v>
      </c>
      <c r="E15" s="55" t="n">
        <v>16.5</v>
      </c>
      <c r="F15" s="55" t="n">
        <v>1.5</v>
      </c>
      <c r="G15" s="55" t="n">
        <v>0</v>
      </c>
      <c r="H15" s="55" t="n">
        <v>0.28</v>
      </c>
      <c r="I15" s="57" t="n">
        <f aca="false">D15-E15</f>
        <v>11.5</v>
      </c>
      <c r="J15" s="58" t="n">
        <f aca="false">I15/D15</f>
        <v>0.410714285714286</v>
      </c>
      <c r="K15" s="57" t="n">
        <f aca="false">I15-F15-G15-H15</f>
        <v>9.72</v>
      </c>
      <c r="L15" s="58" t="n">
        <f aca="false">K15/D15</f>
        <v>0.347142857142857</v>
      </c>
    </row>
    <row r="16" customFormat="false" ht="15" hidden="false" customHeight="false" outlineLevel="0" collapsed="false">
      <c r="B16" s="42" t="s">
        <v>414</v>
      </c>
      <c r="C16" s="55" t="n">
        <v>33</v>
      </c>
      <c r="D16" s="57" t="n">
        <f aca="false">C16/1.15</f>
        <v>28.695652173913</v>
      </c>
      <c r="E16" s="55" t="n">
        <v>14.2</v>
      </c>
      <c r="F16" s="55" t="n">
        <v>1</v>
      </c>
      <c r="G16" s="55" t="n">
        <v>2.87</v>
      </c>
      <c r="H16" s="55" t="n">
        <v>0.29</v>
      </c>
      <c r="I16" s="57" t="n">
        <f aca="false">D16-E16</f>
        <v>14.495652173913</v>
      </c>
      <c r="J16" s="58" t="n">
        <f aca="false">I16/D16</f>
        <v>0.505151515151515</v>
      </c>
      <c r="K16" s="57" t="n">
        <f aca="false">I16-F16-G16-H16</f>
        <v>10.335652173913</v>
      </c>
      <c r="L16" s="58" t="n">
        <f aca="false">K16/D16</f>
        <v>0.360181818181818</v>
      </c>
    </row>
    <row r="18" customFormat="false" ht="19.5" hidden="false" customHeight="true" outlineLevel="0" collapsed="false">
      <c r="B18" s="21" t="s">
        <v>415</v>
      </c>
      <c r="C18" s="21"/>
      <c r="D18" s="21"/>
      <c r="E18" s="21"/>
      <c r="F18" s="21"/>
      <c r="G18" s="21"/>
      <c r="H18" s="21"/>
      <c r="I18" s="21"/>
      <c r="J18" s="21"/>
      <c r="K18" s="21"/>
      <c r="L18" s="21"/>
    </row>
    <row r="19" customFormat="false" ht="19.5" hidden="false" customHeight="true" outlineLevel="0" collapsed="false">
      <c r="B19" s="41" t="s">
        <v>416</v>
      </c>
      <c r="C19" s="41" t="s">
        <v>402</v>
      </c>
      <c r="D19" s="41" t="s">
        <v>407</v>
      </c>
      <c r="E19" s="41" t="s">
        <v>408</v>
      </c>
    </row>
    <row r="20" customFormat="false" ht="15" hidden="false" customHeight="false" outlineLevel="0" collapsed="false">
      <c r="B20" s="39" t="s">
        <v>417</v>
      </c>
      <c r="C20" s="59" t="n">
        <v>8.5</v>
      </c>
      <c r="D20" s="60" t="n">
        <f aca="false">25.29-C20-4-0.51-0.25</f>
        <v>12.03</v>
      </c>
      <c r="E20" s="61" t="n">
        <f aca="false">D20/25.29</f>
        <v>0.475682087781732</v>
      </c>
    </row>
    <row r="21" customFormat="false" ht="15" hidden="false" customHeight="false" outlineLevel="0" collapsed="false">
      <c r="B21" s="39" t="s">
        <v>418</v>
      </c>
      <c r="C21" s="59" t="n">
        <v>7</v>
      </c>
      <c r="D21" s="60" t="n">
        <f aca="false">25.29-C21-4-0.51-0.25</f>
        <v>13.53</v>
      </c>
      <c r="E21" s="61" t="n">
        <f aca="false">D21/25.29</f>
        <v>0.534994068801898</v>
      </c>
    </row>
    <row r="23" customFormat="false" ht="19.5" hidden="false" customHeight="true" outlineLevel="0" collapsed="false">
      <c r="B23" s="21" t="s">
        <v>419</v>
      </c>
      <c r="C23" s="21"/>
      <c r="D23" s="21"/>
      <c r="E23" s="21"/>
      <c r="F23" s="21"/>
      <c r="G23" s="21"/>
      <c r="H23" s="21"/>
      <c r="I23" s="21"/>
      <c r="J23" s="21"/>
      <c r="K23" s="21"/>
      <c r="L23" s="21"/>
    </row>
    <row r="24" customFormat="false" ht="15" hidden="false" customHeight="false" outlineLevel="0" collapsed="false">
      <c r="B24" s="39" t="s">
        <v>420</v>
      </c>
      <c r="C24" s="60" t="n">
        <v>25.29</v>
      </c>
    </row>
    <row r="25" customFormat="false" ht="15" hidden="false" customHeight="false" outlineLevel="0" collapsed="false">
      <c r="B25" s="39" t="s">
        <v>402</v>
      </c>
      <c r="C25" s="60" t="n">
        <v>-8.5</v>
      </c>
    </row>
    <row r="26" customFormat="false" ht="15" hidden="false" customHeight="false" outlineLevel="0" collapsed="false">
      <c r="B26" s="39" t="s">
        <v>403</v>
      </c>
      <c r="C26" s="60" t="n">
        <v>-4</v>
      </c>
    </row>
    <row r="27" customFormat="false" ht="15" hidden="false" customHeight="false" outlineLevel="0" collapsed="false">
      <c r="B27" s="39" t="s">
        <v>421</v>
      </c>
      <c r="C27" s="60" t="n">
        <v>-0.51</v>
      </c>
    </row>
    <row r="28" customFormat="false" ht="15" hidden="false" customHeight="false" outlineLevel="0" collapsed="false">
      <c r="B28" s="39" t="s">
        <v>383</v>
      </c>
      <c r="C28" s="60" t="n">
        <v>-0.25</v>
      </c>
    </row>
    <row r="29" customFormat="false" ht="15" hidden="false" customHeight="false" outlineLevel="0" collapsed="false">
      <c r="B29" s="39" t="s">
        <v>407</v>
      </c>
      <c r="C29" s="60" t="n">
        <v>12.03</v>
      </c>
    </row>
    <row r="32" customFormat="false" ht="15" hidden="false" customHeight="true" outlineLevel="0" collapsed="false">
      <c r="B32" s="34" t="s">
        <v>422</v>
      </c>
      <c r="C32" s="34"/>
      <c r="D32" s="34"/>
      <c r="E32" s="34"/>
      <c r="F32" s="34"/>
      <c r="G32" s="34"/>
      <c r="H32" s="34"/>
      <c r="I32" s="34"/>
      <c r="J32" s="34"/>
      <c r="K32" s="34"/>
      <c r="L32" s="34"/>
    </row>
    <row r="33" customFormat="false" ht="15" hidden="false" customHeight="false" outlineLevel="0" collapsed="false">
      <c r="B33" s="34"/>
      <c r="C33" s="34"/>
      <c r="D33" s="34"/>
      <c r="E33" s="34"/>
      <c r="F33" s="34"/>
      <c r="G33" s="34"/>
      <c r="H33" s="34"/>
      <c r="I33" s="34"/>
      <c r="J33" s="34"/>
      <c r="K33" s="34"/>
      <c r="L33" s="34"/>
    </row>
  </sheetData>
  <mergeCells count="4">
    <mergeCell ref="B8:L8"/>
    <mergeCell ref="B18:L18"/>
    <mergeCell ref="B23:L23"/>
    <mergeCell ref="B32:L33"/>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N15"/>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2" ySplit="8" topLeftCell="C9" activePane="bottomRight" state="frozen"/>
      <selection pane="topLeft" activeCell="A1" activeCellId="0" sqref="A1"/>
      <selection pane="topRight" activeCell="C1" activeCellId="0" sqref="C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2" min="2" style="0" width="16"/>
    <col collapsed="false" customWidth="true" hidden="false" outlineLevel="0" max="14" min="3" style="0" width="9"/>
  </cols>
  <sheetData>
    <row r="2" customFormat="false" ht="24" hidden="false" customHeight="true" outlineLevel="0" collapsed="false">
      <c r="E2" s="11" t="s">
        <v>423</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424</v>
      </c>
    </row>
    <row r="6" customFormat="false" ht="15" hidden="false" customHeight="false" outlineLevel="0" collapsed="false">
      <c r="B6" s="15" t="s">
        <v>425</v>
      </c>
    </row>
    <row r="7" customFormat="false" ht="15" hidden="false" customHeight="false" outlineLevel="0" collapsed="false">
      <c r="B7" s="62" t="s">
        <v>426</v>
      </c>
      <c r="C7" s="63" t="s">
        <v>427</v>
      </c>
      <c r="D7" s="62" t="s">
        <v>428</v>
      </c>
      <c r="E7" s="63" t="s">
        <v>429</v>
      </c>
      <c r="F7" s="62" t="s">
        <v>430</v>
      </c>
      <c r="G7" s="63" t="s">
        <v>431</v>
      </c>
      <c r="H7" s="62" t="s">
        <v>432</v>
      </c>
      <c r="I7" s="63" t="s">
        <v>433</v>
      </c>
    </row>
    <row r="8" customFormat="false" ht="19.5" hidden="false" customHeight="true" outlineLevel="0" collapsed="false">
      <c r="B8" s="41" t="s">
        <v>434</v>
      </c>
      <c r="C8" s="41" t="s">
        <v>435</v>
      </c>
      <c r="D8" s="41" t="s">
        <v>436</v>
      </c>
      <c r="E8" s="41" t="s">
        <v>437</v>
      </c>
      <c r="F8" s="41" t="s">
        <v>195</v>
      </c>
      <c r="G8" s="41" t="s">
        <v>438</v>
      </c>
      <c r="H8" s="41" t="s">
        <v>439</v>
      </c>
      <c r="I8" s="41" t="s">
        <v>440</v>
      </c>
      <c r="J8" s="41" t="s">
        <v>441</v>
      </c>
      <c r="K8" s="41" t="s">
        <v>442</v>
      </c>
      <c r="L8" s="41" t="s">
        <v>443</v>
      </c>
      <c r="M8" s="41" t="s">
        <v>444</v>
      </c>
      <c r="N8" s="41" t="s">
        <v>445</v>
      </c>
    </row>
    <row r="9" customFormat="false" ht="15" hidden="false" customHeight="false" outlineLevel="0" collapsed="false">
      <c r="B9" s="42" t="s">
        <v>446</v>
      </c>
      <c r="C9" s="64" t="n">
        <v>60</v>
      </c>
      <c r="D9" s="65" t="n">
        <f aca="false">C9*(1-0.06)</f>
        <v>56.4</v>
      </c>
      <c r="E9" s="65" t="n">
        <f aca="false">D9*(1-0.06)</f>
        <v>53.016</v>
      </c>
      <c r="F9" s="65" t="n">
        <f aca="false">E9*(1-0.06)</f>
        <v>49.83504</v>
      </c>
      <c r="G9" s="65" t="n">
        <f aca="false">F9*(1-0.06)</f>
        <v>46.8449376</v>
      </c>
      <c r="H9" s="65" t="n">
        <f aca="false">G9*(1-0.06)</f>
        <v>44.034241344</v>
      </c>
      <c r="I9" s="65" t="n">
        <f aca="false">H9*(1-0.06)</f>
        <v>41.39218686336</v>
      </c>
      <c r="J9" s="65" t="n">
        <f aca="false">I9*(1-0.06)</f>
        <v>38.9086556515584</v>
      </c>
      <c r="K9" s="65" t="n">
        <f aca="false">J9*(1-0.06)</f>
        <v>36.5741363124649</v>
      </c>
      <c r="L9" s="65" t="n">
        <f aca="false">K9*(1-0.06)</f>
        <v>34.379688133717</v>
      </c>
      <c r="M9" s="65" t="n">
        <f aca="false">L9*(1-0.06)</f>
        <v>32.316906845694</v>
      </c>
      <c r="N9" s="65" t="n">
        <f aca="false">M9*(1-0.06)</f>
        <v>30.3778924349523</v>
      </c>
    </row>
    <row r="10" customFormat="false" ht="15" hidden="false" customHeight="false" outlineLevel="0" collapsed="false">
      <c r="B10" s="42" t="s">
        <v>447</v>
      </c>
      <c r="C10" s="64" t="n">
        <v>80</v>
      </c>
      <c r="D10" s="65" t="n">
        <f aca="false">C10*(1-0.06)</f>
        <v>75.2</v>
      </c>
      <c r="E10" s="65" t="n">
        <f aca="false">D10*(1-0.06)</f>
        <v>70.688</v>
      </c>
      <c r="F10" s="65" t="n">
        <f aca="false">E10*(1-0.06)</f>
        <v>66.44672</v>
      </c>
      <c r="G10" s="65" t="n">
        <f aca="false">F10*(1-0.06)</f>
        <v>62.4599168</v>
      </c>
      <c r="H10" s="65" t="n">
        <f aca="false">G10*(1-0.06)</f>
        <v>58.712321792</v>
      </c>
      <c r="I10" s="65" t="n">
        <f aca="false">H10*(1-0.06)</f>
        <v>55.18958248448</v>
      </c>
      <c r="J10" s="65" t="n">
        <f aca="false">I10*(1-0.06)</f>
        <v>51.8782075354112</v>
      </c>
      <c r="K10" s="65" t="n">
        <f aca="false">J10*(1-0.06)</f>
        <v>48.7655150832865</v>
      </c>
      <c r="L10" s="65" t="n">
        <f aca="false">K10*(1-0.06)</f>
        <v>45.8395841782893</v>
      </c>
      <c r="M10" s="65" t="n">
        <f aca="false">L10*(1-0.06)</f>
        <v>43.089209127592</v>
      </c>
      <c r="N10" s="65" t="n">
        <f aca="false">M10*(1-0.06)</f>
        <v>40.5038565799364</v>
      </c>
    </row>
    <row r="11" customFormat="false" ht="15" hidden="false" customHeight="false" outlineLevel="0" collapsed="false">
      <c r="B11" s="42" t="s">
        <v>448</v>
      </c>
      <c r="C11" s="64" t="n">
        <v>110</v>
      </c>
      <c r="D11" s="65" t="n">
        <f aca="false">C11*(1-0.06)</f>
        <v>103.4</v>
      </c>
      <c r="E11" s="65" t="n">
        <f aca="false">D11*(1-0.06)</f>
        <v>97.196</v>
      </c>
      <c r="F11" s="65" t="n">
        <f aca="false">E11*(1-0.06)</f>
        <v>91.36424</v>
      </c>
      <c r="G11" s="65" t="n">
        <f aca="false">F11*(1-0.06)</f>
        <v>85.8823856</v>
      </c>
      <c r="H11" s="65" t="n">
        <f aca="false">G11*(1-0.06)</f>
        <v>80.729442464</v>
      </c>
      <c r="I11" s="65" t="n">
        <f aca="false">H11*(1-0.06)</f>
        <v>75.88567591616</v>
      </c>
      <c r="J11" s="65" t="n">
        <f aca="false">I11*(1-0.06)</f>
        <v>71.3325353611904</v>
      </c>
      <c r="K11" s="65" t="n">
        <f aca="false">J11*(1-0.06)</f>
        <v>67.0525832395189</v>
      </c>
      <c r="L11" s="65" t="n">
        <f aca="false">K11*(1-0.06)</f>
        <v>63.0294282451478</v>
      </c>
      <c r="M11" s="65" t="n">
        <f aca="false">L11*(1-0.06)</f>
        <v>59.2476625504389</v>
      </c>
      <c r="N11" s="65" t="n">
        <f aca="false">M11*(1-0.06)</f>
        <v>55.6928027974126</v>
      </c>
    </row>
    <row r="12" customFormat="false" ht="15" hidden="false" customHeight="false" outlineLevel="0" collapsed="false">
      <c r="B12" s="42" t="s">
        <v>449</v>
      </c>
      <c r="C12" s="64" t="n">
        <v>140</v>
      </c>
      <c r="D12" s="65" t="n">
        <f aca="false">C12*(1-0.06)</f>
        <v>131.6</v>
      </c>
      <c r="E12" s="65" t="n">
        <f aca="false">D12*(1-0.06)</f>
        <v>123.704</v>
      </c>
      <c r="F12" s="65" t="n">
        <f aca="false">E12*(1-0.06)</f>
        <v>116.28176</v>
      </c>
      <c r="G12" s="65" t="n">
        <f aca="false">F12*(1-0.06)</f>
        <v>109.3048544</v>
      </c>
      <c r="H12" s="65" t="n">
        <f aca="false">G12*(1-0.06)</f>
        <v>102.746563136</v>
      </c>
      <c r="I12" s="65" t="n">
        <f aca="false">H12*(1-0.06)</f>
        <v>96.58176934784</v>
      </c>
      <c r="J12" s="65" t="n">
        <f aca="false">I12*(1-0.06)</f>
        <v>90.7868631869696</v>
      </c>
      <c r="K12" s="65" t="n">
        <f aca="false">J12*(1-0.06)</f>
        <v>85.3396513957514</v>
      </c>
      <c r="L12" s="65" t="n">
        <f aca="false">K12*(1-0.06)</f>
        <v>80.2192723120063</v>
      </c>
      <c r="M12" s="65" t="n">
        <f aca="false">L12*(1-0.06)</f>
        <v>75.4061159732859</v>
      </c>
      <c r="N12" s="65" t="n">
        <f aca="false">M12*(1-0.06)</f>
        <v>70.8817490148888</v>
      </c>
    </row>
    <row r="14" customFormat="false" ht="15" hidden="false" customHeight="true" outlineLevel="0" collapsed="false">
      <c r="B14" s="34" t="s">
        <v>450</v>
      </c>
      <c r="C14" s="34"/>
      <c r="D14" s="34"/>
      <c r="E14" s="34"/>
      <c r="F14" s="34"/>
      <c r="G14" s="34"/>
      <c r="H14" s="34"/>
      <c r="I14" s="34"/>
      <c r="J14" s="34"/>
      <c r="K14" s="34"/>
      <c r="L14" s="34"/>
      <c r="M14" s="34"/>
      <c r="N14" s="34"/>
    </row>
    <row r="15" customFormat="false" ht="15" hidden="false" customHeight="false" outlineLevel="0" collapsed="false">
      <c r="B15" s="34"/>
      <c r="C15" s="34"/>
      <c r="D15" s="34"/>
      <c r="E15" s="34"/>
      <c r="F15" s="34"/>
      <c r="G15" s="34"/>
      <c r="H15" s="34"/>
      <c r="I15" s="34"/>
      <c r="J15" s="34"/>
      <c r="K15" s="34"/>
      <c r="L15" s="34"/>
      <c r="M15" s="34"/>
      <c r="N15" s="34"/>
    </row>
  </sheetData>
  <mergeCells count="1">
    <mergeCell ref="B14:N15"/>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I4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2" ySplit="8" topLeftCell="C9" activePane="bottomRight" state="frozen"/>
      <selection pane="topLeft" activeCell="A1" activeCellId="0" sqref="A1"/>
      <selection pane="topRight" activeCell="C1" activeCellId="0" sqref="C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2" min="2" style="0" width="9"/>
    <col collapsed="false" customWidth="true" hidden="false" outlineLevel="0" max="3" min="3" style="0" width="13"/>
    <col collapsed="false" customWidth="true" hidden="false" outlineLevel="0" max="5" min="4" style="0" width="10"/>
  </cols>
  <sheetData>
    <row r="2" customFormat="false" ht="24" hidden="false" customHeight="true" outlineLevel="0" collapsed="false">
      <c r="E2" s="11" t="s">
        <v>451</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452</v>
      </c>
    </row>
    <row r="6" customFormat="false" ht="15" hidden="false" customHeight="false" outlineLevel="0" collapsed="false">
      <c r="B6" s="15" t="s">
        <v>453</v>
      </c>
    </row>
    <row r="7" customFormat="false" ht="15" hidden="false" customHeight="false" outlineLevel="0" collapsed="false">
      <c r="B7" s="62" t="s">
        <v>454</v>
      </c>
      <c r="C7" s="63" t="s">
        <v>455</v>
      </c>
      <c r="D7" s="62" t="s">
        <v>82</v>
      </c>
      <c r="E7" s="63" t="s">
        <v>456</v>
      </c>
      <c r="F7" s="62" t="s">
        <v>457</v>
      </c>
      <c r="G7" s="63" t="s">
        <v>458</v>
      </c>
      <c r="H7" s="62" t="s">
        <v>459</v>
      </c>
      <c r="I7" s="63" t="s">
        <v>460</v>
      </c>
    </row>
    <row r="8" customFormat="false" ht="19.5" hidden="false" customHeight="true" outlineLevel="0" collapsed="false">
      <c r="B8" s="41" t="s">
        <v>461</v>
      </c>
      <c r="C8" s="41" t="s">
        <v>462</v>
      </c>
      <c r="D8" s="41" t="s">
        <v>463</v>
      </c>
      <c r="E8" s="41" t="s">
        <v>464</v>
      </c>
    </row>
    <row r="9" customFormat="false" ht="15" hidden="false" customHeight="false" outlineLevel="0" collapsed="false">
      <c r="B9" s="39" t="s">
        <v>90</v>
      </c>
      <c r="C9" s="66" t="n">
        <v>0</v>
      </c>
      <c r="D9" s="66" t="n">
        <v>0</v>
      </c>
      <c r="E9" s="66" t="n">
        <v>0</v>
      </c>
    </row>
    <row r="10" customFormat="false" ht="15" hidden="false" customHeight="false" outlineLevel="0" collapsed="false">
      <c r="B10" s="39" t="s">
        <v>91</v>
      </c>
      <c r="C10" s="66" t="n">
        <v>0</v>
      </c>
      <c r="D10" s="66" t="n">
        <v>0</v>
      </c>
      <c r="E10" s="66" t="n">
        <v>0</v>
      </c>
    </row>
    <row r="11" customFormat="false" ht="15" hidden="false" customHeight="false" outlineLevel="0" collapsed="false">
      <c r="B11" s="39" t="s">
        <v>92</v>
      </c>
      <c r="C11" s="66" t="n">
        <v>0</v>
      </c>
      <c r="D11" s="66" t="n">
        <v>0</v>
      </c>
      <c r="E11" s="66" t="n">
        <v>0</v>
      </c>
    </row>
    <row r="12" customFormat="false" ht="15" hidden="false" customHeight="false" outlineLevel="0" collapsed="false">
      <c r="B12" s="39" t="s">
        <v>93</v>
      </c>
      <c r="C12" s="66" t="n">
        <v>70</v>
      </c>
      <c r="D12" s="66" t="n">
        <v>0</v>
      </c>
      <c r="E12" s="66" t="n">
        <v>0</v>
      </c>
    </row>
    <row r="13" customFormat="false" ht="15" hidden="false" customHeight="false" outlineLevel="0" collapsed="false">
      <c r="B13" s="39" t="s">
        <v>94</v>
      </c>
      <c r="C13" s="66" t="n">
        <v>141</v>
      </c>
      <c r="D13" s="66" t="n">
        <v>8</v>
      </c>
      <c r="E13" s="66" t="n">
        <v>0</v>
      </c>
    </row>
    <row r="14" customFormat="false" ht="15" hidden="false" customHeight="false" outlineLevel="0" collapsed="false">
      <c r="B14" s="39" t="s">
        <v>95</v>
      </c>
      <c r="C14" s="66" t="n">
        <v>215</v>
      </c>
      <c r="D14" s="66" t="n">
        <v>15</v>
      </c>
      <c r="E14" s="66" t="n">
        <v>0</v>
      </c>
    </row>
    <row r="15" customFormat="false" ht="15" hidden="false" customHeight="false" outlineLevel="0" collapsed="false">
      <c r="B15" s="39" t="s">
        <v>96</v>
      </c>
      <c r="C15" s="66" t="n">
        <v>290</v>
      </c>
      <c r="D15" s="66" t="n">
        <v>22</v>
      </c>
      <c r="E15" s="66" t="n">
        <v>0</v>
      </c>
    </row>
    <row r="16" customFormat="false" ht="15" hidden="false" customHeight="false" outlineLevel="0" collapsed="false">
      <c r="B16" s="39" t="s">
        <v>97</v>
      </c>
      <c r="C16" s="66" t="n">
        <v>368</v>
      </c>
      <c r="D16" s="66" t="n">
        <v>29</v>
      </c>
      <c r="E16" s="66" t="n">
        <v>0</v>
      </c>
    </row>
    <row r="17" customFormat="false" ht="15" hidden="false" customHeight="false" outlineLevel="0" collapsed="false">
      <c r="B17" s="39" t="s">
        <v>98</v>
      </c>
      <c r="C17" s="66" t="n">
        <v>449</v>
      </c>
      <c r="D17" s="66" t="n">
        <v>36</v>
      </c>
      <c r="E17" s="66" t="n">
        <v>0</v>
      </c>
    </row>
    <row r="18" customFormat="false" ht="15" hidden="false" customHeight="false" outlineLevel="0" collapsed="false">
      <c r="B18" s="39" t="s">
        <v>99</v>
      </c>
      <c r="C18" s="66" t="n">
        <v>533</v>
      </c>
      <c r="D18" s="66" t="n">
        <v>43</v>
      </c>
      <c r="E18" s="66" t="n">
        <v>0</v>
      </c>
    </row>
    <row r="19" customFormat="false" ht="15" hidden="false" customHeight="false" outlineLevel="0" collapsed="false">
      <c r="B19" s="39" t="s">
        <v>67</v>
      </c>
      <c r="C19" s="66" t="n">
        <v>621</v>
      </c>
      <c r="D19" s="66" t="n">
        <v>50</v>
      </c>
      <c r="E19" s="66" t="n">
        <v>0</v>
      </c>
    </row>
    <row r="20" customFormat="false" ht="15" hidden="false" customHeight="false" outlineLevel="0" collapsed="false">
      <c r="B20" s="39" t="s">
        <v>100</v>
      </c>
      <c r="C20" s="66" t="n">
        <v>713</v>
      </c>
      <c r="D20" s="66" t="n">
        <v>57</v>
      </c>
      <c r="E20" s="66" t="n">
        <v>0</v>
      </c>
    </row>
    <row r="21" customFormat="false" ht="15" hidden="false" customHeight="false" outlineLevel="0" collapsed="false">
      <c r="B21" s="39" t="s">
        <v>72</v>
      </c>
      <c r="C21" s="66" t="n">
        <v>810</v>
      </c>
      <c r="D21" s="66" t="n">
        <v>65</v>
      </c>
      <c r="E21" s="66" t="n">
        <v>40</v>
      </c>
    </row>
    <row r="22" customFormat="false" ht="15" hidden="false" customHeight="false" outlineLevel="0" collapsed="false">
      <c r="B22" s="39" t="s">
        <v>101</v>
      </c>
      <c r="C22" s="66" t="n">
        <v>913</v>
      </c>
      <c r="D22" s="66" t="n">
        <v>70</v>
      </c>
      <c r="E22" s="66" t="n">
        <v>65</v>
      </c>
    </row>
    <row r="23" customFormat="false" ht="15" hidden="false" customHeight="false" outlineLevel="0" collapsed="false">
      <c r="B23" s="39" t="s">
        <v>102</v>
      </c>
      <c r="C23" s="66" t="n">
        <v>1021</v>
      </c>
      <c r="D23" s="66" t="n">
        <v>75</v>
      </c>
      <c r="E23" s="66" t="n">
        <v>90</v>
      </c>
    </row>
    <row r="24" customFormat="false" ht="15" hidden="false" customHeight="false" outlineLevel="0" collapsed="false">
      <c r="B24" s="39" t="s">
        <v>103</v>
      </c>
      <c r="C24" s="66" t="n">
        <v>1136</v>
      </c>
      <c r="D24" s="66" t="n">
        <v>80</v>
      </c>
      <c r="E24" s="66" t="n">
        <v>115</v>
      </c>
    </row>
    <row r="25" customFormat="false" ht="15" hidden="false" customHeight="false" outlineLevel="0" collapsed="false">
      <c r="B25" s="39" t="s">
        <v>104</v>
      </c>
      <c r="C25" s="66" t="n">
        <v>1258</v>
      </c>
      <c r="D25" s="66" t="n">
        <v>85</v>
      </c>
      <c r="E25" s="66" t="n">
        <v>140</v>
      </c>
    </row>
    <row r="26" customFormat="false" ht="15" hidden="false" customHeight="false" outlineLevel="0" collapsed="false">
      <c r="B26" s="39" t="s">
        <v>105</v>
      </c>
      <c r="C26" s="66" t="n">
        <v>1388</v>
      </c>
      <c r="D26" s="66" t="n">
        <v>90</v>
      </c>
      <c r="E26" s="66" t="n">
        <v>165</v>
      </c>
    </row>
    <row r="27" customFormat="false" ht="15" hidden="false" customHeight="false" outlineLevel="0" collapsed="false">
      <c r="B27" s="39" t="s">
        <v>106</v>
      </c>
      <c r="C27" s="66" t="n">
        <v>1527</v>
      </c>
      <c r="D27" s="66" t="n">
        <v>95</v>
      </c>
      <c r="E27" s="66" t="n">
        <v>190</v>
      </c>
    </row>
    <row r="28" customFormat="false" ht="15" hidden="false" customHeight="false" outlineLevel="0" collapsed="false">
      <c r="B28" s="39" t="s">
        <v>107</v>
      </c>
      <c r="C28" s="66" t="n">
        <v>1675</v>
      </c>
      <c r="D28" s="66" t="n">
        <v>100</v>
      </c>
      <c r="E28" s="66" t="n">
        <v>215</v>
      </c>
    </row>
    <row r="29" customFormat="false" ht="15" hidden="false" customHeight="false" outlineLevel="0" collapsed="false">
      <c r="B29" s="39" t="s">
        <v>108</v>
      </c>
      <c r="C29" s="66" t="n">
        <v>1834</v>
      </c>
      <c r="D29" s="66" t="n">
        <v>105</v>
      </c>
      <c r="E29" s="66" t="n">
        <v>240</v>
      </c>
    </row>
    <row r="30" customFormat="false" ht="15" hidden="false" customHeight="false" outlineLevel="0" collapsed="false">
      <c r="B30" s="39" t="s">
        <v>109</v>
      </c>
      <c r="C30" s="66" t="n">
        <v>2004</v>
      </c>
      <c r="D30" s="66" t="n">
        <v>110</v>
      </c>
      <c r="E30" s="66" t="n">
        <v>265</v>
      </c>
    </row>
    <row r="31" customFormat="false" ht="15" hidden="false" customHeight="false" outlineLevel="0" collapsed="false">
      <c r="B31" s="39" t="s">
        <v>110</v>
      </c>
      <c r="C31" s="66" t="n">
        <v>2185</v>
      </c>
      <c r="D31" s="66" t="n">
        <v>115</v>
      </c>
      <c r="E31" s="66" t="n">
        <v>290</v>
      </c>
    </row>
    <row r="32" customFormat="false" ht="15" hidden="false" customHeight="false" outlineLevel="0" collapsed="false">
      <c r="B32" s="39" t="s">
        <v>111</v>
      </c>
      <c r="C32" s="66" t="n">
        <v>2381</v>
      </c>
      <c r="D32" s="66" t="n">
        <v>120</v>
      </c>
      <c r="E32" s="66" t="n">
        <v>315</v>
      </c>
    </row>
    <row r="33" customFormat="false" ht="15" hidden="false" customHeight="false" outlineLevel="0" collapsed="false">
      <c r="B33" s="39" t="s">
        <v>112</v>
      </c>
      <c r="C33" s="66" t="n">
        <v>2590</v>
      </c>
      <c r="D33" s="66" t="n">
        <v>125</v>
      </c>
      <c r="E33" s="66" t="n">
        <v>375</v>
      </c>
    </row>
    <row r="34" customFormat="false" ht="15" hidden="false" customHeight="false" outlineLevel="0" collapsed="false">
      <c r="B34" s="39" t="s">
        <v>113</v>
      </c>
      <c r="C34" s="66" t="n">
        <v>2815</v>
      </c>
      <c r="D34" s="66" t="n">
        <v>130</v>
      </c>
      <c r="E34" s="66" t="n">
        <v>435</v>
      </c>
    </row>
    <row r="35" customFormat="false" ht="15" hidden="false" customHeight="false" outlineLevel="0" collapsed="false">
      <c r="B35" s="39" t="s">
        <v>114</v>
      </c>
      <c r="C35" s="66" t="n">
        <v>3057</v>
      </c>
      <c r="D35" s="66" t="n">
        <v>135</v>
      </c>
      <c r="E35" s="66" t="n">
        <v>495</v>
      </c>
    </row>
    <row r="36" customFormat="false" ht="15" hidden="false" customHeight="false" outlineLevel="0" collapsed="false">
      <c r="B36" s="39" t="s">
        <v>115</v>
      </c>
      <c r="C36" s="66" t="n">
        <v>3318</v>
      </c>
      <c r="D36" s="66" t="n">
        <v>140</v>
      </c>
      <c r="E36" s="66" t="n">
        <v>555</v>
      </c>
    </row>
    <row r="37" customFormat="false" ht="15" hidden="false" customHeight="false" outlineLevel="0" collapsed="false">
      <c r="B37" s="39" t="s">
        <v>116</v>
      </c>
      <c r="C37" s="66" t="n">
        <v>3598</v>
      </c>
      <c r="D37" s="66" t="n">
        <v>145</v>
      </c>
      <c r="E37" s="66" t="n">
        <v>615</v>
      </c>
    </row>
    <row r="38" customFormat="false" ht="15" hidden="false" customHeight="false" outlineLevel="0" collapsed="false">
      <c r="B38" s="39" t="s">
        <v>68</v>
      </c>
      <c r="C38" s="66" t="n">
        <v>3900</v>
      </c>
      <c r="D38" s="66" t="n">
        <v>150</v>
      </c>
      <c r="E38" s="66" t="n">
        <v>675</v>
      </c>
    </row>
    <row r="39" customFormat="false" ht="15" hidden="false" customHeight="false" outlineLevel="0" collapsed="false">
      <c r="B39" s="39" t="s">
        <v>117</v>
      </c>
      <c r="C39" s="66" t="n">
        <v>4225</v>
      </c>
      <c r="D39" s="66" t="n">
        <v>155</v>
      </c>
      <c r="E39" s="66" t="n">
        <v>735</v>
      </c>
    </row>
    <row r="40" customFormat="false" ht="15" hidden="false" customHeight="false" outlineLevel="0" collapsed="false">
      <c r="B40" s="39" t="s">
        <v>118</v>
      </c>
      <c r="C40" s="66" t="n">
        <v>4576</v>
      </c>
      <c r="D40" s="66" t="n">
        <v>160</v>
      </c>
      <c r="E40" s="66" t="n">
        <v>795</v>
      </c>
    </row>
    <row r="41" customFormat="false" ht="15" hidden="false" customHeight="false" outlineLevel="0" collapsed="false">
      <c r="B41" s="39" t="s">
        <v>119</v>
      </c>
      <c r="C41" s="66" t="n">
        <v>4953</v>
      </c>
      <c r="D41" s="66" t="n">
        <v>165</v>
      </c>
      <c r="E41" s="66" t="n">
        <v>855</v>
      </c>
    </row>
    <row r="42" customFormat="false" ht="15" hidden="false" customHeight="false" outlineLevel="0" collapsed="false">
      <c r="B42" s="39" t="s">
        <v>120</v>
      </c>
      <c r="C42" s="66" t="n">
        <v>5360</v>
      </c>
      <c r="D42" s="66" t="n">
        <v>170</v>
      </c>
      <c r="E42" s="66" t="n">
        <v>900</v>
      </c>
    </row>
    <row r="43" customFormat="false" ht="15" hidden="false" customHeight="false" outlineLevel="0" collapsed="false">
      <c r="B43" s="39" t="s">
        <v>121</v>
      </c>
      <c r="C43" s="66" t="n">
        <v>5800</v>
      </c>
      <c r="D43" s="66" t="n">
        <v>175</v>
      </c>
      <c r="E43" s="66" t="n">
        <v>900</v>
      </c>
    </row>
    <row r="44" customFormat="false" ht="15" hidden="false" customHeight="false" outlineLevel="0" collapsed="false">
      <c r="B44" s="39" t="s">
        <v>122</v>
      </c>
      <c r="C44" s="66" t="n">
        <v>6273</v>
      </c>
      <c r="D44" s="66" t="n">
        <v>180</v>
      </c>
      <c r="E44" s="66" t="n">
        <v>900</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I47"/>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2" ySplit="8" topLeftCell="C9" activePane="bottomRight" state="frozen"/>
      <selection pane="topLeft" activeCell="A1" activeCellId="0" sqref="A1"/>
      <selection pane="topRight" activeCell="C1" activeCellId="0" sqref="C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2" min="2" style="0" width="9"/>
    <col collapsed="false" customWidth="true" hidden="false" outlineLevel="0" max="5" min="3" style="0" width="12"/>
  </cols>
  <sheetData>
    <row r="2" customFormat="false" ht="24" hidden="false" customHeight="true" outlineLevel="0" collapsed="false">
      <c r="E2" s="11" t="s">
        <v>465</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466</v>
      </c>
    </row>
    <row r="6" customFormat="false" ht="15" hidden="false" customHeight="false" outlineLevel="0" collapsed="false">
      <c r="B6" s="15" t="s">
        <v>467</v>
      </c>
    </row>
    <row r="7" customFormat="false" ht="15" hidden="false" customHeight="false" outlineLevel="0" collapsed="false">
      <c r="B7" s="62" t="s">
        <v>468</v>
      </c>
      <c r="C7" s="63" t="s">
        <v>469</v>
      </c>
      <c r="D7" s="62" t="s">
        <v>470</v>
      </c>
      <c r="E7" s="63" t="s">
        <v>471</v>
      </c>
      <c r="F7" s="62" t="s">
        <v>472</v>
      </c>
      <c r="G7" s="63" t="s">
        <v>473</v>
      </c>
      <c r="H7" s="62" t="s">
        <v>474</v>
      </c>
      <c r="I7" s="63" t="s">
        <v>122</v>
      </c>
    </row>
    <row r="8" customFormat="false" ht="19.5" hidden="false" customHeight="true" outlineLevel="0" collapsed="false">
      <c r="B8" s="41" t="s">
        <v>461</v>
      </c>
      <c r="C8" s="41" t="s">
        <v>475</v>
      </c>
      <c r="D8" s="41" t="s">
        <v>476</v>
      </c>
      <c r="E8" s="41" t="s">
        <v>477</v>
      </c>
    </row>
    <row r="9" customFormat="false" ht="15" hidden="false" customHeight="false" outlineLevel="0" collapsed="false">
      <c r="B9" s="39" t="s">
        <v>90</v>
      </c>
      <c r="C9" s="27" t="n">
        <v>0</v>
      </c>
      <c r="D9" s="27" t="n">
        <v>0</v>
      </c>
      <c r="E9" s="27" t="n">
        <f aca="false">C9+D9</f>
        <v>0</v>
      </c>
    </row>
    <row r="10" customFormat="false" ht="15" hidden="false" customHeight="false" outlineLevel="0" collapsed="false">
      <c r="B10" s="39" t="s">
        <v>91</v>
      </c>
      <c r="C10" s="27" t="n">
        <v>0</v>
      </c>
      <c r="D10" s="27" t="n">
        <v>0</v>
      </c>
      <c r="E10" s="27" t="n">
        <f aca="false">C10+D10</f>
        <v>0</v>
      </c>
    </row>
    <row r="11" customFormat="false" ht="15" hidden="false" customHeight="false" outlineLevel="0" collapsed="false">
      <c r="B11" s="39" t="s">
        <v>92</v>
      </c>
      <c r="C11" s="27" t="n">
        <v>0</v>
      </c>
      <c r="D11" s="27" t="n">
        <v>0</v>
      </c>
      <c r="E11" s="27" t="n">
        <f aca="false">C11+D11</f>
        <v>0</v>
      </c>
    </row>
    <row r="12" customFormat="false" ht="15" hidden="false" customHeight="false" outlineLevel="0" collapsed="false">
      <c r="B12" s="39" t="s">
        <v>93</v>
      </c>
      <c r="C12" s="27" t="n">
        <v>1344</v>
      </c>
      <c r="D12" s="27" t="n">
        <v>161</v>
      </c>
      <c r="E12" s="27" t="n">
        <f aca="false">C12+D12</f>
        <v>1505</v>
      </c>
    </row>
    <row r="13" customFormat="false" ht="15" hidden="false" customHeight="false" outlineLevel="0" collapsed="false">
      <c r="B13" s="39" t="s">
        <v>94</v>
      </c>
      <c r="C13" s="27" t="n">
        <v>2992</v>
      </c>
      <c r="D13" s="27" t="n">
        <v>359</v>
      </c>
      <c r="E13" s="27" t="n">
        <f aca="false">C13+D13</f>
        <v>3351</v>
      </c>
    </row>
    <row r="14" customFormat="false" ht="15" hidden="false" customHeight="false" outlineLevel="0" collapsed="false">
      <c r="B14" s="39" t="s">
        <v>95</v>
      </c>
      <c r="C14" s="27" t="n">
        <v>4640</v>
      </c>
      <c r="D14" s="27" t="n">
        <v>557</v>
      </c>
      <c r="E14" s="27" t="n">
        <f aca="false">C14+D14</f>
        <v>5197</v>
      </c>
    </row>
    <row r="15" customFormat="false" ht="15" hidden="false" customHeight="false" outlineLevel="0" collapsed="false">
      <c r="B15" s="39" t="s">
        <v>96</v>
      </c>
      <c r="C15" s="27" t="n">
        <v>6329</v>
      </c>
      <c r="D15" s="27" t="n">
        <v>759</v>
      </c>
      <c r="E15" s="27" t="n">
        <f aca="false">C15+D15</f>
        <v>7088</v>
      </c>
    </row>
    <row r="16" customFormat="false" ht="15" hidden="false" customHeight="false" outlineLevel="0" collapsed="false">
      <c r="B16" s="39" t="s">
        <v>97</v>
      </c>
      <c r="C16" s="27" t="n">
        <v>8066</v>
      </c>
      <c r="D16" s="27" t="n">
        <v>968</v>
      </c>
      <c r="E16" s="27" t="n">
        <f aca="false">C16+D16</f>
        <v>9034</v>
      </c>
    </row>
    <row r="17" customFormat="false" ht="15" hidden="false" customHeight="false" outlineLevel="0" collapsed="false">
      <c r="B17" s="39" t="s">
        <v>98</v>
      </c>
      <c r="C17" s="27" t="n">
        <v>9860</v>
      </c>
      <c r="D17" s="27" t="n">
        <v>1183</v>
      </c>
      <c r="E17" s="27" t="n">
        <f aca="false">C17+D17</f>
        <v>11043</v>
      </c>
    </row>
    <row r="18" customFormat="false" ht="15" hidden="false" customHeight="false" outlineLevel="0" collapsed="false">
      <c r="B18" s="39" t="s">
        <v>99</v>
      </c>
      <c r="C18" s="27" t="n">
        <v>11719</v>
      </c>
      <c r="D18" s="27" t="n">
        <v>1406</v>
      </c>
      <c r="E18" s="27" t="n">
        <f aca="false">C18+D18</f>
        <v>13125</v>
      </c>
    </row>
    <row r="19" customFormat="false" ht="15" hidden="false" customHeight="false" outlineLevel="0" collapsed="false">
      <c r="B19" s="39" t="s">
        <v>67</v>
      </c>
      <c r="C19" s="27" t="n">
        <v>13652</v>
      </c>
      <c r="D19" s="27" t="n">
        <v>1638</v>
      </c>
      <c r="E19" s="27" t="n">
        <f aca="false">C19+D19</f>
        <v>15290</v>
      </c>
    </row>
    <row r="20" customFormat="false" ht="15" hidden="false" customHeight="false" outlineLevel="0" collapsed="false">
      <c r="B20" s="39" t="s">
        <v>100</v>
      </c>
      <c r="C20" s="27" t="n">
        <v>15668</v>
      </c>
      <c r="D20" s="27" t="n">
        <v>1880</v>
      </c>
      <c r="E20" s="27" t="n">
        <f aca="false">C20+D20</f>
        <v>17548</v>
      </c>
    </row>
    <row r="21" customFormat="false" ht="15" hidden="false" customHeight="false" outlineLevel="0" collapsed="false">
      <c r="B21" s="39" t="s">
        <v>72</v>
      </c>
      <c r="C21" s="27" t="n">
        <v>18503</v>
      </c>
      <c r="D21" s="27" t="n">
        <v>2220</v>
      </c>
      <c r="E21" s="27" t="n">
        <f aca="false">C21+D21</f>
        <v>20723</v>
      </c>
    </row>
    <row r="22" customFormat="false" ht="15" hidden="false" customHeight="false" outlineLevel="0" collapsed="false">
      <c r="B22" s="39" t="s">
        <v>101</v>
      </c>
      <c r="C22" s="27" t="n">
        <v>21078</v>
      </c>
      <c r="D22" s="27" t="n">
        <v>2529</v>
      </c>
      <c r="E22" s="27" t="n">
        <f aca="false">C22+D22</f>
        <v>23607</v>
      </c>
    </row>
    <row r="23" customFormat="false" ht="15" hidden="false" customHeight="false" outlineLevel="0" collapsed="false">
      <c r="B23" s="39" t="s">
        <v>102</v>
      </c>
      <c r="C23" s="27" t="n">
        <v>23767</v>
      </c>
      <c r="D23" s="27" t="n">
        <v>2852</v>
      </c>
      <c r="E23" s="27" t="n">
        <f aca="false">C23+D23</f>
        <v>26619</v>
      </c>
    </row>
    <row r="24" customFormat="false" ht="15" hidden="false" customHeight="false" outlineLevel="0" collapsed="false">
      <c r="B24" s="39" t="s">
        <v>103</v>
      </c>
      <c r="C24" s="27" t="n">
        <v>26581</v>
      </c>
      <c r="D24" s="27" t="n">
        <v>3190</v>
      </c>
      <c r="E24" s="27" t="n">
        <f aca="false">C24+D24</f>
        <v>29771</v>
      </c>
    </row>
    <row r="25" customFormat="false" ht="15" hidden="false" customHeight="false" outlineLevel="0" collapsed="false">
      <c r="B25" s="39" t="s">
        <v>104</v>
      </c>
      <c r="C25" s="27" t="n">
        <v>29534</v>
      </c>
      <c r="D25" s="27" t="n">
        <v>3544</v>
      </c>
      <c r="E25" s="27" t="n">
        <f aca="false">C25+D25</f>
        <v>33078</v>
      </c>
    </row>
    <row r="26" customFormat="false" ht="15" hidden="false" customHeight="false" outlineLevel="0" collapsed="false">
      <c r="B26" s="39" t="s">
        <v>105</v>
      </c>
      <c r="C26" s="27" t="n">
        <v>32639</v>
      </c>
      <c r="D26" s="27" t="n">
        <v>3917</v>
      </c>
      <c r="E26" s="27" t="n">
        <f aca="false">C26+D26</f>
        <v>36556</v>
      </c>
    </row>
    <row r="27" customFormat="false" ht="15" hidden="false" customHeight="false" outlineLevel="0" collapsed="false">
      <c r="B27" s="39" t="s">
        <v>106</v>
      </c>
      <c r="C27" s="27" t="n">
        <v>35909</v>
      </c>
      <c r="D27" s="27" t="n">
        <v>4309</v>
      </c>
      <c r="E27" s="27" t="n">
        <f aca="false">C27+D27</f>
        <v>40218</v>
      </c>
    </row>
    <row r="28" customFormat="false" ht="15" hidden="false" customHeight="false" outlineLevel="0" collapsed="false">
      <c r="B28" s="39" t="s">
        <v>107</v>
      </c>
      <c r="C28" s="27" t="n">
        <v>39361</v>
      </c>
      <c r="D28" s="27" t="n">
        <v>4723</v>
      </c>
      <c r="E28" s="27" t="n">
        <f aca="false">C28+D28</f>
        <v>44084</v>
      </c>
    </row>
    <row r="29" customFormat="false" ht="15" hidden="false" customHeight="false" outlineLevel="0" collapsed="false">
      <c r="B29" s="39" t="s">
        <v>108</v>
      </c>
      <c r="C29" s="27" t="n">
        <v>43010</v>
      </c>
      <c r="D29" s="27" t="n">
        <v>5161</v>
      </c>
      <c r="E29" s="27" t="n">
        <f aca="false">C29+D29</f>
        <v>48171</v>
      </c>
    </row>
    <row r="30" customFormat="false" ht="15" hidden="false" customHeight="false" outlineLevel="0" collapsed="false">
      <c r="B30" s="39" t="s">
        <v>109</v>
      </c>
      <c r="C30" s="27" t="n">
        <v>46875</v>
      </c>
      <c r="D30" s="27" t="n">
        <v>5625</v>
      </c>
      <c r="E30" s="27" t="n">
        <f aca="false">C30+D30</f>
        <v>52500</v>
      </c>
    </row>
    <row r="31" customFormat="false" ht="15" hidden="false" customHeight="false" outlineLevel="0" collapsed="false">
      <c r="B31" s="39" t="s">
        <v>110</v>
      </c>
      <c r="C31" s="27" t="n">
        <v>50973</v>
      </c>
      <c r="D31" s="27" t="n">
        <v>6117</v>
      </c>
      <c r="E31" s="27" t="n">
        <f aca="false">C31+D31</f>
        <v>57090</v>
      </c>
    </row>
    <row r="32" customFormat="false" ht="15" hidden="false" customHeight="false" outlineLevel="0" collapsed="false">
      <c r="B32" s="39" t="s">
        <v>111</v>
      </c>
      <c r="C32" s="27" t="n">
        <v>55327</v>
      </c>
      <c r="D32" s="27" t="n">
        <v>6639</v>
      </c>
      <c r="E32" s="27" t="n">
        <f aca="false">C32+D32</f>
        <v>61966</v>
      </c>
    </row>
    <row r="33" customFormat="false" ht="15" hidden="false" customHeight="false" outlineLevel="0" collapsed="false">
      <c r="B33" s="39" t="s">
        <v>112</v>
      </c>
      <c r="C33" s="27" t="n">
        <v>60562</v>
      </c>
      <c r="D33" s="27" t="n">
        <v>7267</v>
      </c>
      <c r="E33" s="27" t="n">
        <f aca="false">C33+D33</f>
        <v>67829</v>
      </c>
    </row>
    <row r="34" customFormat="false" ht="15" hidden="false" customHeight="false" outlineLevel="0" collapsed="false">
      <c r="B34" s="39" t="s">
        <v>113</v>
      </c>
      <c r="C34" s="27" t="n">
        <v>66098</v>
      </c>
      <c r="D34" s="27" t="n">
        <v>7932</v>
      </c>
      <c r="E34" s="27" t="n">
        <f aca="false">C34+D34</f>
        <v>74030</v>
      </c>
    </row>
    <row r="35" customFormat="false" ht="15" hidden="false" customHeight="false" outlineLevel="0" collapsed="false">
      <c r="B35" s="39" t="s">
        <v>114</v>
      </c>
      <c r="C35" s="27" t="n">
        <v>71959</v>
      </c>
      <c r="D35" s="27" t="n">
        <v>8635</v>
      </c>
      <c r="E35" s="27" t="n">
        <f aca="false">C35+D35</f>
        <v>80594</v>
      </c>
    </row>
    <row r="36" customFormat="false" ht="15" hidden="false" customHeight="false" outlineLevel="0" collapsed="false">
      <c r="B36" s="39" t="s">
        <v>115</v>
      </c>
      <c r="C36" s="27" t="n">
        <v>78172</v>
      </c>
      <c r="D36" s="27" t="n">
        <v>9381</v>
      </c>
      <c r="E36" s="27" t="n">
        <f aca="false">C36+D36</f>
        <v>87553</v>
      </c>
    </row>
    <row r="37" customFormat="false" ht="15" hidden="false" customHeight="false" outlineLevel="0" collapsed="false">
      <c r="B37" s="39" t="s">
        <v>116</v>
      </c>
      <c r="C37" s="27" t="n">
        <v>84767</v>
      </c>
      <c r="D37" s="27" t="n">
        <v>10172</v>
      </c>
      <c r="E37" s="27" t="n">
        <f aca="false">C37+D37</f>
        <v>94939</v>
      </c>
    </row>
    <row r="38" customFormat="false" ht="15" hidden="false" customHeight="false" outlineLevel="0" collapsed="false">
      <c r="B38" s="39" t="s">
        <v>68</v>
      </c>
      <c r="C38" s="27" t="n">
        <v>91775</v>
      </c>
      <c r="D38" s="27" t="n">
        <v>11013</v>
      </c>
      <c r="E38" s="27" t="n">
        <f aca="false">C38+D38</f>
        <v>102788</v>
      </c>
    </row>
    <row r="39" customFormat="false" ht="15" hidden="false" customHeight="false" outlineLevel="0" collapsed="false">
      <c r="B39" s="39" t="s">
        <v>117</v>
      </c>
      <c r="C39" s="27" t="n">
        <v>99231</v>
      </c>
      <c r="D39" s="27" t="n">
        <v>11908</v>
      </c>
      <c r="E39" s="27" t="n">
        <f aca="false">C39+D39</f>
        <v>111139</v>
      </c>
    </row>
    <row r="40" customFormat="false" ht="15" hidden="false" customHeight="false" outlineLevel="0" collapsed="false">
      <c r="B40" s="39" t="s">
        <v>118</v>
      </c>
      <c r="C40" s="27" t="n">
        <v>107171</v>
      </c>
      <c r="D40" s="27" t="n">
        <v>12861</v>
      </c>
      <c r="E40" s="27" t="n">
        <f aca="false">C40+D40</f>
        <v>120032</v>
      </c>
    </row>
    <row r="41" customFormat="false" ht="15" hidden="false" customHeight="false" outlineLevel="0" collapsed="false">
      <c r="B41" s="39" t="s">
        <v>119</v>
      </c>
      <c r="C41" s="27" t="n">
        <v>115636</v>
      </c>
      <c r="D41" s="27" t="n">
        <v>13876</v>
      </c>
      <c r="E41" s="27" t="n">
        <f aca="false">C41+D41</f>
        <v>129512</v>
      </c>
    </row>
    <row r="42" customFormat="false" ht="15" hidden="false" customHeight="false" outlineLevel="0" collapsed="false">
      <c r="B42" s="39" t="s">
        <v>120</v>
      </c>
      <c r="C42" s="27" t="n">
        <v>124407</v>
      </c>
      <c r="D42" s="27" t="n">
        <v>14929</v>
      </c>
      <c r="E42" s="27" t="n">
        <f aca="false">C42+D42</f>
        <v>139336</v>
      </c>
    </row>
    <row r="43" customFormat="false" ht="15" hidden="false" customHeight="false" outlineLevel="0" collapsed="false">
      <c r="B43" s="39" t="s">
        <v>121</v>
      </c>
      <c r="C43" s="27" t="n">
        <v>133011</v>
      </c>
      <c r="D43" s="27" t="n">
        <v>15961</v>
      </c>
      <c r="E43" s="27" t="n">
        <f aca="false">C43+D43</f>
        <v>148972</v>
      </c>
    </row>
    <row r="44" customFormat="false" ht="15" hidden="false" customHeight="false" outlineLevel="0" collapsed="false">
      <c r="B44" s="39" t="s">
        <v>122</v>
      </c>
      <c r="C44" s="27" t="n">
        <v>142278</v>
      </c>
      <c r="D44" s="27" t="n">
        <v>17073</v>
      </c>
      <c r="E44" s="27" t="n">
        <f aca="false">C44+D44</f>
        <v>159351</v>
      </c>
    </row>
    <row r="45" customFormat="false" ht="15" hidden="false" customHeight="false" outlineLevel="0" collapsed="false">
      <c r="B45" s="67" t="s">
        <v>478</v>
      </c>
      <c r="C45" s="68" t="n">
        <f aca="false">SUM(C9:C20)</f>
        <v>74270</v>
      </c>
      <c r="D45" s="68" t="n">
        <f aca="false">SUM(D9:D20)</f>
        <v>8911</v>
      </c>
      <c r="E45" s="68" t="n">
        <f aca="false">SUM(E9:E20)</f>
        <v>83181</v>
      </c>
    </row>
    <row r="46" customFormat="false" ht="15" hidden="false" customHeight="false" outlineLevel="0" collapsed="false">
      <c r="B46" s="67" t="s">
        <v>479</v>
      </c>
      <c r="C46" s="68" t="n">
        <f aca="false">SUM(C21:C32)</f>
        <v>423557</v>
      </c>
      <c r="D46" s="68" t="n">
        <f aca="false">SUM(D21:D32)</f>
        <v>50826</v>
      </c>
      <c r="E46" s="68" t="n">
        <f aca="false">SUM(E21:E32)</f>
        <v>474383</v>
      </c>
    </row>
    <row r="47" customFormat="false" ht="15" hidden="false" customHeight="false" outlineLevel="0" collapsed="false">
      <c r="B47" s="67" t="s">
        <v>480</v>
      </c>
      <c r="C47" s="68" t="n">
        <f aca="false">SUM(C33:C44)</f>
        <v>1175067</v>
      </c>
      <c r="D47" s="68" t="n">
        <f aca="false">SUM(D33:D44)</f>
        <v>141008</v>
      </c>
      <c r="E47" s="68" t="n">
        <f aca="false">SUM(E33:E44)</f>
        <v>1316075</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I55"/>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2" ySplit="8" topLeftCell="C9" activePane="bottomRight" state="frozen"/>
      <selection pane="topLeft" activeCell="A1" activeCellId="0" sqref="A1"/>
      <selection pane="topRight" activeCell="C1" activeCellId="0" sqref="C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2" min="2" style="0" width="9"/>
    <col collapsed="false" customWidth="true" hidden="false" outlineLevel="0" max="3" min="3" style="0" width="14"/>
    <col collapsed="false" customWidth="true" hidden="false" outlineLevel="0" max="5" min="4" style="0" width="13"/>
    <col collapsed="false" customWidth="true" hidden="false" outlineLevel="0" max="6" min="6" style="0" width="10"/>
  </cols>
  <sheetData>
    <row r="2" customFormat="false" ht="24" hidden="false" customHeight="true" outlineLevel="0" collapsed="false">
      <c r="E2" s="11" t="s">
        <v>481</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482</v>
      </c>
    </row>
    <row r="6" customFormat="false" ht="15" hidden="false" customHeight="false" outlineLevel="0" collapsed="false">
      <c r="B6" s="15" t="s">
        <v>483</v>
      </c>
    </row>
    <row r="7" customFormat="false" ht="15" hidden="false" customHeight="false" outlineLevel="0" collapsed="false">
      <c r="B7" s="62" t="s">
        <v>86</v>
      </c>
      <c r="C7" s="63" t="s">
        <v>484</v>
      </c>
      <c r="D7" s="62" t="s">
        <v>88</v>
      </c>
      <c r="E7" s="63" t="s">
        <v>485</v>
      </c>
      <c r="F7" s="62" t="s">
        <v>486</v>
      </c>
      <c r="G7" s="63" t="s">
        <v>487</v>
      </c>
      <c r="H7" s="62" t="s">
        <v>488</v>
      </c>
      <c r="I7" s="63" t="s">
        <v>489</v>
      </c>
    </row>
    <row r="8" customFormat="false" ht="19.5" hidden="false" customHeight="true" outlineLevel="0" collapsed="false">
      <c r="B8" s="41" t="s">
        <v>461</v>
      </c>
      <c r="C8" s="41" t="s">
        <v>490</v>
      </c>
      <c r="D8" s="41" t="s">
        <v>402</v>
      </c>
      <c r="E8" s="41" t="s">
        <v>405</v>
      </c>
      <c r="F8" s="41" t="s">
        <v>406</v>
      </c>
    </row>
    <row r="9" customFormat="false" ht="15" hidden="false" customHeight="false" outlineLevel="0" collapsed="false">
      <c r="B9" s="39" t="s">
        <v>90</v>
      </c>
      <c r="C9" s="27" t="n">
        <v>0</v>
      </c>
      <c r="D9" s="27" t="n">
        <v>0</v>
      </c>
      <c r="E9" s="27" t="n">
        <f aca="false">C9-D9</f>
        <v>0</v>
      </c>
      <c r="F9" s="61" t="n">
        <f aca="false">IF(C9=0,0,E9/C9)</f>
        <v>0</v>
      </c>
    </row>
    <row r="10" customFormat="false" ht="15" hidden="false" customHeight="false" outlineLevel="0" collapsed="false">
      <c r="B10" s="39" t="s">
        <v>91</v>
      </c>
      <c r="C10" s="27" t="n">
        <v>0</v>
      </c>
      <c r="D10" s="27" t="n">
        <v>0</v>
      </c>
      <c r="E10" s="27" t="n">
        <f aca="false">C10-D10</f>
        <v>0</v>
      </c>
      <c r="F10" s="61" t="n">
        <f aca="false">IF(C10=0,0,E10/C10)</f>
        <v>0</v>
      </c>
    </row>
    <row r="11" customFormat="false" ht="15" hidden="false" customHeight="false" outlineLevel="0" collapsed="false">
      <c r="B11" s="39" t="s">
        <v>92</v>
      </c>
      <c r="C11" s="27" t="n">
        <v>0</v>
      </c>
      <c r="D11" s="27" t="n">
        <v>0</v>
      </c>
      <c r="E11" s="27" t="n">
        <f aca="false">C11-D11</f>
        <v>0</v>
      </c>
      <c r="F11" s="61" t="n">
        <f aca="false">IF(C11=0,0,E11/C11)</f>
        <v>0</v>
      </c>
    </row>
    <row r="12" customFormat="false" ht="15" hidden="false" customHeight="false" outlineLevel="0" collapsed="false">
      <c r="B12" s="39" t="s">
        <v>93</v>
      </c>
      <c r="C12" s="27" t="n">
        <v>39613</v>
      </c>
      <c r="D12" s="27" t="n">
        <v>14085</v>
      </c>
      <c r="E12" s="27" t="n">
        <f aca="false">C12-D12</f>
        <v>25528</v>
      </c>
      <c r="F12" s="61" t="n">
        <f aca="false">IF(C12=0,0,E12/C12)</f>
        <v>0.64443490773231</v>
      </c>
    </row>
    <row r="13" customFormat="false" ht="15" hidden="false" customHeight="false" outlineLevel="0" collapsed="false">
      <c r="B13" s="39" t="s">
        <v>94</v>
      </c>
      <c r="C13" s="27" t="n">
        <v>85114</v>
      </c>
      <c r="D13" s="27" t="n">
        <v>31361</v>
      </c>
      <c r="E13" s="27" t="n">
        <f aca="false">C13-D13</f>
        <v>53753</v>
      </c>
      <c r="F13" s="61" t="n">
        <f aca="false">IF(C13=0,0,E13/C13)</f>
        <v>0.631541227060178</v>
      </c>
    </row>
    <row r="14" customFormat="false" ht="15" hidden="false" customHeight="false" outlineLevel="0" collapsed="false">
      <c r="B14" s="39" t="s">
        <v>95</v>
      </c>
      <c r="C14" s="27" t="n">
        <v>130977</v>
      </c>
      <c r="D14" s="27" t="n">
        <v>48629</v>
      </c>
      <c r="E14" s="27" t="n">
        <f aca="false">C14-D14</f>
        <v>82348</v>
      </c>
      <c r="F14" s="61" t="n">
        <f aca="false">IF(C14=0,0,E14/C14)</f>
        <v>0.628721073165518</v>
      </c>
    </row>
    <row r="15" customFormat="false" ht="15" hidden="false" customHeight="false" outlineLevel="0" collapsed="false">
      <c r="B15" s="39" t="s">
        <v>96</v>
      </c>
      <c r="C15" s="27" t="n">
        <v>178052</v>
      </c>
      <c r="D15" s="27" t="n">
        <v>66327</v>
      </c>
      <c r="E15" s="27" t="n">
        <f aca="false">C15-D15</f>
        <v>111725</v>
      </c>
      <c r="F15" s="61" t="n">
        <f aca="false">IF(C15=0,0,E15/C15)</f>
        <v>0.627485229034215</v>
      </c>
    </row>
    <row r="16" customFormat="false" ht="15" hidden="false" customHeight="false" outlineLevel="0" collapsed="false">
      <c r="B16" s="39" t="s">
        <v>97</v>
      </c>
      <c r="C16" s="27" t="n">
        <v>226562</v>
      </c>
      <c r="D16" s="27" t="n">
        <v>70210</v>
      </c>
      <c r="E16" s="27" t="n">
        <f aca="false">C16-D16</f>
        <v>156352</v>
      </c>
      <c r="F16" s="61" t="n">
        <f aca="false">IF(C16=0,0,E16/C16)</f>
        <v>0.690106902304888</v>
      </c>
    </row>
    <row r="17" customFormat="false" ht="15" hidden="false" customHeight="false" outlineLevel="0" collapsed="false">
      <c r="B17" s="39" t="s">
        <v>98</v>
      </c>
      <c r="C17" s="27" t="n">
        <v>276741</v>
      </c>
      <c r="D17" s="27" t="n">
        <v>85825</v>
      </c>
      <c r="E17" s="27" t="n">
        <f aca="false">C17-D17</f>
        <v>190916</v>
      </c>
      <c r="F17" s="61" t="n">
        <f aca="false">IF(C17=0,0,E17/C17)</f>
        <v>0.689872480044518</v>
      </c>
    </row>
    <row r="18" customFormat="false" ht="15" hidden="false" customHeight="false" outlineLevel="0" collapsed="false">
      <c r="B18" s="39" t="s">
        <v>99</v>
      </c>
      <c r="C18" s="27" t="n">
        <v>328833</v>
      </c>
      <c r="D18" s="27" t="n">
        <v>102006</v>
      </c>
      <c r="E18" s="27" t="n">
        <f aca="false">C18-D18</f>
        <v>226827</v>
      </c>
      <c r="F18" s="61" t="n">
        <f aca="false">IF(C18=0,0,E18/C18)</f>
        <v>0.689793907545776</v>
      </c>
    </row>
    <row r="19" customFormat="false" ht="15" hidden="false" customHeight="false" outlineLevel="0" collapsed="false">
      <c r="B19" s="39" t="s">
        <v>67</v>
      </c>
      <c r="C19" s="27" t="n">
        <v>383095</v>
      </c>
      <c r="D19" s="27" t="n">
        <v>118828</v>
      </c>
      <c r="E19" s="27" t="n">
        <f aca="false">C19-D19</f>
        <v>264267</v>
      </c>
      <c r="F19" s="61" t="n">
        <f aca="false">IF(C19=0,0,E19/C19)</f>
        <v>0.689821062660698</v>
      </c>
    </row>
    <row r="20" customFormat="false" ht="15" hidden="false" customHeight="false" outlineLevel="0" collapsed="false">
      <c r="B20" s="39" t="s">
        <v>100</v>
      </c>
      <c r="C20" s="27" t="n">
        <v>439801</v>
      </c>
      <c r="D20" s="27" t="n">
        <v>136371</v>
      </c>
      <c r="E20" s="27" t="n">
        <f aca="false">C20-D20</f>
        <v>303430</v>
      </c>
      <c r="F20" s="61" t="n">
        <f aca="false">IF(C20=0,0,E20/C20)</f>
        <v>0.689925670928443</v>
      </c>
    </row>
    <row r="21" customFormat="false" ht="15" hidden="false" customHeight="false" outlineLevel="0" collapsed="false">
      <c r="B21" s="39" t="s">
        <v>72</v>
      </c>
      <c r="C21" s="27" t="n">
        <v>510934</v>
      </c>
      <c r="D21" s="27" t="n">
        <v>161053</v>
      </c>
      <c r="E21" s="27" t="n">
        <f aca="false">C21-D21</f>
        <v>349881</v>
      </c>
      <c r="F21" s="61" t="n">
        <f aca="false">IF(C21=0,0,E21/C21)</f>
        <v>0.684787076217281</v>
      </c>
    </row>
    <row r="22" customFormat="false" ht="15" hidden="false" customHeight="false" outlineLevel="0" collapsed="false">
      <c r="B22" s="39" t="s">
        <v>101</v>
      </c>
      <c r="C22" s="27" t="n">
        <v>579045</v>
      </c>
      <c r="D22" s="27" t="n">
        <v>183464</v>
      </c>
      <c r="E22" s="27" t="n">
        <f aca="false">C22-D22</f>
        <v>395581</v>
      </c>
      <c r="F22" s="61" t="n">
        <f aca="false">IF(C22=0,0,E22/C22)</f>
        <v>0.683161066929168</v>
      </c>
    </row>
    <row r="23" customFormat="false" ht="15" hidden="false" customHeight="false" outlineLevel="0" collapsed="false">
      <c r="B23" s="39" t="s">
        <v>102</v>
      </c>
      <c r="C23" s="27" t="n">
        <v>650517</v>
      </c>
      <c r="D23" s="27" t="n">
        <v>206867</v>
      </c>
      <c r="E23" s="27" t="n">
        <f aca="false">C23-D23</f>
        <v>443650</v>
      </c>
      <c r="F23" s="61" t="n">
        <f aca="false">IF(C23=0,0,E23/C23)</f>
        <v>0.681996012402443</v>
      </c>
    </row>
    <row r="24" customFormat="false" ht="15" hidden="false" customHeight="false" outlineLevel="0" collapsed="false">
      <c r="B24" s="39" t="s">
        <v>103</v>
      </c>
      <c r="C24" s="27" t="n">
        <v>725695</v>
      </c>
      <c r="D24" s="27" t="n">
        <v>231365</v>
      </c>
      <c r="E24" s="27" t="n">
        <f aca="false">C24-D24</f>
        <v>494330</v>
      </c>
      <c r="F24" s="61" t="n">
        <f aca="false">IF(C24=0,0,E24/C24)</f>
        <v>0.681181488090727</v>
      </c>
    </row>
    <row r="25" customFormat="false" ht="15" hidden="false" customHeight="false" outlineLevel="0" collapsed="false">
      <c r="B25" s="39" t="s">
        <v>104</v>
      </c>
      <c r="C25" s="27" t="n">
        <v>804949</v>
      </c>
      <c r="D25" s="27" t="n">
        <v>257067</v>
      </c>
      <c r="E25" s="27" t="n">
        <f aca="false">C25-D25</f>
        <v>547882</v>
      </c>
      <c r="F25" s="61" t="n">
        <f aca="false">IF(C25=0,0,E25/C25)</f>
        <v>0.680641879174954</v>
      </c>
    </row>
    <row r="26" customFormat="false" ht="15" hidden="false" customHeight="false" outlineLevel="0" collapsed="false">
      <c r="B26" s="39" t="s">
        <v>105</v>
      </c>
      <c r="C26" s="27" t="n">
        <v>888672</v>
      </c>
      <c r="D26" s="27" t="n">
        <v>284088</v>
      </c>
      <c r="E26" s="27" t="n">
        <f aca="false">C26-D26</f>
        <v>604584</v>
      </c>
      <c r="F26" s="61" t="n">
        <f aca="false">IF(C26=0,0,E26/C26)</f>
        <v>0.68032299881171</v>
      </c>
    </row>
    <row r="27" customFormat="false" ht="15" hidden="false" customHeight="false" outlineLevel="0" collapsed="false">
      <c r="B27" s="39" t="s">
        <v>106</v>
      </c>
      <c r="C27" s="27" t="n">
        <v>977285</v>
      </c>
      <c r="D27" s="27" t="n">
        <v>312554</v>
      </c>
      <c r="E27" s="27" t="n">
        <f aca="false">C27-D27</f>
        <v>664731</v>
      </c>
      <c r="F27" s="61" t="n">
        <f aca="false">IF(C27=0,0,E27/C27)</f>
        <v>0.680181318653208</v>
      </c>
    </row>
    <row r="28" customFormat="false" ht="15" hidden="false" customHeight="false" outlineLevel="0" collapsed="false">
      <c r="B28" s="39" t="s">
        <v>107</v>
      </c>
      <c r="C28" s="27" t="n">
        <v>1071241</v>
      </c>
      <c r="D28" s="27" t="n">
        <v>342597</v>
      </c>
      <c r="E28" s="27" t="n">
        <f aca="false">C28-D28</f>
        <v>728644</v>
      </c>
      <c r="F28" s="61" t="n">
        <f aca="false">IF(C28=0,0,E28/C28)</f>
        <v>0.680186811371111</v>
      </c>
    </row>
    <row r="29" customFormat="false" ht="15" hidden="false" customHeight="false" outlineLevel="0" collapsed="false">
      <c r="B29" s="39" t="s">
        <v>108</v>
      </c>
      <c r="C29" s="27" t="n">
        <v>1171021</v>
      </c>
      <c r="D29" s="27" t="n">
        <v>374361</v>
      </c>
      <c r="E29" s="27" t="n">
        <f aca="false">C29-D29</f>
        <v>796660</v>
      </c>
      <c r="F29" s="61" t="n">
        <f aca="false">IF(C29=0,0,E29/C29)</f>
        <v>0.680312308660562</v>
      </c>
    </row>
    <row r="30" customFormat="false" ht="15" hidden="false" customHeight="false" outlineLevel="0" collapsed="false">
      <c r="B30" s="39" t="s">
        <v>109</v>
      </c>
      <c r="C30" s="27" t="n">
        <v>1277146</v>
      </c>
      <c r="D30" s="27" t="n">
        <v>407998</v>
      </c>
      <c r="E30" s="27" t="n">
        <f aca="false">C30-D30</f>
        <v>869148</v>
      </c>
      <c r="F30" s="61" t="n">
        <f aca="false">IF(C30=0,0,E30/C30)</f>
        <v>0.680539264892189</v>
      </c>
    </row>
    <row r="31" customFormat="false" ht="15" hidden="false" customHeight="false" outlineLevel="0" collapsed="false">
      <c r="B31" s="39" t="s">
        <v>110</v>
      </c>
      <c r="C31" s="27" t="n">
        <v>1390173</v>
      </c>
      <c r="D31" s="27" t="n">
        <v>443673</v>
      </c>
      <c r="E31" s="27" t="n">
        <f aca="false">C31-D31</f>
        <v>946500</v>
      </c>
      <c r="F31" s="61" t="n">
        <f aca="false">IF(C31=0,0,E31/C31)</f>
        <v>0.68085051284984</v>
      </c>
    </row>
    <row r="32" customFormat="false" ht="15" hidden="false" customHeight="false" outlineLevel="0" collapsed="false">
      <c r="B32" s="39" t="s">
        <v>111</v>
      </c>
      <c r="C32" s="27" t="n">
        <v>1510701</v>
      </c>
      <c r="D32" s="27" t="n">
        <v>481563</v>
      </c>
      <c r="E32" s="27" t="n">
        <f aca="false">C32-D32</f>
        <v>1029138</v>
      </c>
      <c r="F32" s="61" t="n">
        <f aca="false">IF(C32=0,0,E32/C32)</f>
        <v>0.681232090268028</v>
      </c>
    </row>
    <row r="33" customFormat="false" ht="15" hidden="false" customHeight="false" outlineLevel="0" collapsed="false">
      <c r="B33" s="39" t="s">
        <v>112</v>
      </c>
      <c r="C33" s="27" t="n">
        <v>1649051</v>
      </c>
      <c r="D33" s="27" t="n">
        <v>527136</v>
      </c>
      <c r="E33" s="27" t="n">
        <f aca="false">C33-D33</f>
        <v>1121915</v>
      </c>
      <c r="F33" s="61" t="n">
        <f aca="false">IF(C33=0,0,E33/C33)</f>
        <v>0.680339783305671</v>
      </c>
    </row>
    <row r="34" customFormat="false" ht="15" hidden="false" customHeight="false" outlineLevel="0" collapsed="false">
      <c r="B34" s="39" t="s">
        <v>113</v>
      </c>
      <c r="C34" s="27" t="n">
        <v>1796238</v>
      </c>
      <c r="D34" s="27" t="n">
        <v>575317</v>
      </c>
      <c r="E34" s="27" t="n">
        <f aca="false">C34-D34</f>
        <v>1220921</v>
      </c>
      <c r="F34" s="61" t="n">
        <f aca="false">IF(C34=0,0,E34/C34)</f>
        <v>0.679710038424752</v>
      </c>
    </row>
    <row r="35" customFormat="false" ht="15" hidden="false" customHeight="false" outlineLevel="0" collapsed="false">
      <c r="B35" s="39" t="s">
        <v>114</v>
      </c>
      <c r="C35" s="27" t="n">
        <v>1953010</v>
      </c>
      <c r="D35" s="27" t="n">
        <v>626330</v>
      </c>
      <c r="E35" s="27" t="n">
        <f aca="false">C35-D35</f>
        <v>1326680</v>
      </c>
      <c r="F35" s="61" t="n">
        <f aca="false">IF(C35=0,0,E35/C35)</f>
        <v>0.679300157193256</v>
      </c>
    </row>
    <row r="36" customFormat="false" ht="15" hidden="false" customHeight="false" outlineLevel="0" collapsed="false">
      <c r="B36" s="39" t="s">
        <v>115</v>
      </c>
      <c r="C36" s="27" t="n">
        <v>2120168</v>
      </c>
      <c r="D36" s="27" t="n">
        <v>680409</v>
      </c>
      <c r="E36" s="27" t="n">
        <f aca="false">C36-D36</f>
        <v>1439759</v>
      </c>
      <c r="F36" s="61" t="n">
        <f aca="false">IF(C36=0,0,E36/C36)</f>
        <v>0.67907779006192</v>
      </c>
    </row>
    <row r="37" customFormat="false" ht="15" hidden="false" customHeight="false" outlineLevel="0" collapsed="false">
      <c r="B37" s="39" t="s">
        <v>116</v>
      </c>
      <c r="C37" s="27" t="n">
        <v>2298579</v>
      </c>
      <c r="D37" s="27" t="n">
        <v>737812</v>
      </c>
      <c r="E37" s="27" t="n">
        <f aca="false">C37-D37</f>
        <v>1560767</v>
      </c>
      <c r="F37" s="61" t="n">
        <f aca="false">IF(C37=0,0,E37/C37)</f>
        <v>0.679013860302387</v>
      </c>
    </row>
    <row r="38" customFormat="false" ht="15" hidden="false" customHeight="false" outlineLevel="0" collapsed="false">
      <c r="B38" s="39" t="s">
        <v>68</v>
      </c>
      <c r="C38" s="27" t="n">
        <v>2489175</v>
      </c>
      <c r="D38" s="27" t="n">
        <v>798813</v>
      </c>
      <c r="E38" s="27" t="n">
        <f aca="false">C38-D38</f>
        <v>1690362</v>
      </c>
      <c r="F38" s="61" t="n">
        <f aca="false">IF(C38=0,0,E38/C38)</f>
        <v>0.679085239085239</v>
      </c>
    </row>
    <row r="39" customFormat="false" ht="15" hidden="false" customHeight="false" outlineLevel="0" collapsed="false">
      <c r="B39" s="39" t="s">
        <v>117</v>
      </c>
      <c r="C39" s="27" t="n">
        <v>2692960</v>
      </c>
      <c r="D39" s="27" t="n">
        <v>863709</v>
      </c>
      <c r="E39" s="27" t="n">
        <f aca="false">C39-D39</f>
        <v>1829251</v>
      </c>
      <c r="F39" s="61" t="n">
        <f aca="false">IF(C39=0,0,E39/C39)</f>
        <v>0.679271507931793</v>
      </c>
    </row>
    <row r="40" customFormat="false" ht="15" hidden="false" customHeight="false" outlineLevel="0" collapsed="false">
      <c r="B40" s="39" t="s">
        <v>118</v>
      </c>
      <c r="C40" s="27" t="n">
        <v>2911019</v>
      </c>
      <c r="D40" s="27" t="n">
        <v>932820</v>
      </c>
      <c r="E40" s="27" t="n">
        <f aca="false">C40-D40</f>
        <v>1978199</v>
      </c>
      <c r="F40" s="61" t="n">
        <f aca="false">IF(C40=0,0,E40/C40)</f>
        <v>0.679555509599903</v>
      </c>
    </row>
    <row r="41" customFormat="false" ht="15" hidden="false" customHeight="false" outlineLevel="0" collapsed="false">
      <c r="B41" s="39" t="s">
        <v>119</v>
      </c>
      <c r="C41" s="27" t="n">
        <v>3144521</v>
      </c>
      <c r="D41" s="27" t="n">
        <v>1006492</v>
      </c>
      <c r="E41" s="27" t="n">
        <f aca="false">C41-D41</f>
        <v>2138029</v>
      </c>
      <c r="F41" s="61" t="n">
        <f aca="false">IF(C41=0,0,E41/C41)</f>
        <v>0.679921997658785</v>
      </c>
    </row>
    <row r="42" customFormat="false" ht="15" hidden="false" customHeight="false" outlineLevel="0" collapsed="false">
      <c r="B42" s="39" t="s">
        <v>120</v>
      </c>
      <c r="C42" s="27" t="n">
        <v>3390578</v>
      </c>
      <c r="D42" s="27" t="n">
        <v>1082835</v>
      </c>
      <c r="E42" s="27" t="n">
        <f aca="false">C42-D42</f>
        <v>2307743</v>
      </c>
      <c r="F42" s="61" t="n">
        <f aca="false">IF(C42=0,0,E42/C42)</f>
        <v>0.680634098374967</v>
      </c>
    </row>
    <row r="43" customFormat="false" ht="15" hidden="false" customHeight="false" outlineLevel="0" collapsed="false">
      <c r="B43" s="39" t="s">
        <v>121</v>
      </c>
      <c r="C43" s="27" t="n">
        <v>3642256</v>
      </c>
      <c r="D43" s="27" t="n">
        <v>1157728</v>
      </c>
      <c r="E43" s="27" t="n">
        <f aca="false">C43-D43</f>
        <v>2484528</v>
      </c>
      <c r="F43" s="61" t="n">
        <f aca="false">IF(C43=0,0,E43/C43)</f>
        <v>0.682139860569933</v>
      </c>
    </row>
    <row r="44" customFormat="false" ht="15" hidden="false" customHeight="false" outlineLevel="0" collapsed="false">
      <c r="B44" s="39" t="s">
        <v>122</v>
      </c>
      <c r="C44" s="27" t="n">
        <v>3913464</v>
      </c>
      <c r="D44" s="27" t="n">
        <v>1238389</v>
      </c>
      <c r="E44" s="27" t="n">
        <f aca="false">C44-D44</f>
        <v>2675075</v>
      </c>
      <c r="F44" s="61" t="n">
        <f aca="false">IF(C44=0,0,E44/C44)</f>
        <v>0.683556818205048</v>
      </c>
    </row>
    <row r="45" customFormat="false" ht="15" hidden="false" customHeight="false" outlineLevel="0" collapsed="false">
      <c r="B45" s="67" t="s">
        <v>86</v>
      </c>
      <c r="C45" s="68" t="n">
        <f aca="false">SUM(C9:C20)</f>
        <v>2088788</v>
      </c>
      <c r="D45" s="68" t="n">
        <f aca="false">SUM(D9:D20)</f>
        <v>673642</v>
      </c>
      <c r="E45" s="68" t="n">
        <f aca="false">SUM(E9:E20)</f>
        <v>1415146</v>
      </c>
    </row>
    <row r="46" customFormat="false" ht="15" hidden="false" customHeight="false" outlineLevel="0" collapsed="false">
      <c r="B46" s="67" t="s">
        <v>87</v>
      </c>
      <c r="C46" s="68" t="n">
        <f aca="false">SUM(C21:C32)</f>
        <v>11557379</v>
      </c>
      <c r="D46" s="68" t="n">
        <f aca="false">SUM(D21:D32)</f>
        <v>3686650</v>
      </c>
      <c r="E46" s="68" t="n">
        <f aca="false">SUM(E21:E32)</f>
        <v>7870729</v>
      </c>
    </row>
    <row r="47" customFormat="false" ht="15" hidden="false" customHeight="false" outlineLevel="0" collapsed="false">
      <c r="B47" s="67" t="s">
        <v>88</v>
      </c>
      <c r="C47" s="68" t="n">
        <f aca="false">SUM(C33:C44)</f>
        <v>32001019</v>
      </c>
      <c r="D47" s="68" t="n">
        <f aca="false">SUM(D33:D44)</f>
        <v>10227790</v>
      </c>
      <c r="E47" s="68" t="n">
        <f aca="false">SUM(E33:E44)</f>
        <v>21773229</v>
      </c>
    </row>
    <row r="49" customFormat="false" ht="19.5" hidden="false" customHeight="true" outlineLevel="0" collapsed="false">
      <c r="B49" s="21" t="s">
        <v>491</v>
      </c>
      <c r="C49" s="21"/>
      <c r="D49" s="21"/>
      <c r="E49" s="21"/>
      <c r="F49" s="21"/>
      <c r="G49" s="21"/>
    </row>
    <row r="50" customFormat="false" ht="19.5" hidden="false" customHeight="true" outlineLevel="0" collapsed="false">
      <c r="B50" s="41" t="s">
        <v>492</v>
      </c>
      <c r="C50" s="41" t="s">
        <v>493</v>
      </c>
      <c r="D50" s="41" t="s">
        <v>494</v>
      </c>
    </row>
    <row r="51" customFormat="false" ht="15" hidden="false" customHeight="false" outlineLevel="0" collapsed="false">
      <c r="B51" s="42" t="s">
        <v>495</v>
      </c>
      <c r="C51" s="69" t="n">
        <v>8.1</v>
      </c>
      <c r="D51" s="69" t="n">
        <v>16.9</v>
      </c>
    </row>
    <row r="52" customFormat="false" ht="15" hidden="false" customHeight="false" outlineLevel="0" collapsed="false">
      <c r="B52" s="42" t="s">
        <v>496</v>
      </c>
      <c r="C52" s="69" t="n">
        <v>1.6</v>
      </c>
      <c r="D52" s="69" t="n">
        <v>3</v>
      </c>
    </row>
    <row r="53" customFormat="false" ht="15" hidden="false" customHeight="false" outlineLevel="0" collapsed="false">
      <c r="B53" s="42" t="s">
        <v>497</v>
      </c>
      <c r="C53" s="69" t="n">
        <v>-0.2</v>
      </c>
      <c r="D53" s="69" t="n">
        <v>0.5</v>
      </c>
    </row>
    <row r="54" customFormat="false" ht="15" hidden="false" customHeight="false" outlineLevel="0" collapsed="false">
      <c r="B54" s="67" t="s">
        <v>498</v>
      </c>
      <c r="C54" s="70" t="n">
        <f aca="false">SUM(C51:C53)</f>
        <v>9.5</v>
      </c>
      <c r="D54" s="70" t="n">
        <f aca="false">SUM(D51:D53)</f>
        <v>20.4</v>
      </c>
    </row>
    <row r="55" customFormat="false" ht="15" hidden="false" customHeight="false" outlineLevel="0" collapsed="false">
      <c r="B55" s="71" t="s">
        <v>499</v>
      </c>
      <c r="C55" s="71"/>
      <c r="D55" s="71"/>
      <c r="E55" s="71"/>
      <c r="F55" s="71"/>
      <c r="G55" s="71"/>
    </row>
  </sheetData>
  <mergeCells count="2">
    <mergeCell ref="B49:G49"/>
    <mergeCell ref="B55:G55"/>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I1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2" style="0" width="30"/>
    <col collapsed="false" customWidth="true" hidden="false" outlineLevel="0" max="4" min="3" style="0" width="12"/>
    <col collapsed="false" customWidth="true" hidden="false" outlineLevel="0" max="5" min="5" style="0" width="30"/>
  </cols>
  <sheetData>
    <row r="2" customFormat="false" ht="24" hidden="false" customHeight="true" outlineLevel="0" collapsed="false">
      <c r="E2" s="11" t="s">
        <v>500</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501</v>
      </c>
    </row>
    <row r="6" customFormat="false" ht="15" hidden="false" customHeight="false" outlineLevel="0" collapsed="false">
      <c r="B6" s="15" t="s">
        <v>502</v>
      </c>
    </row>
    <row r="7" customFormat="false" ht="15" hidden="false" customHeight="false" outlineLevel="0" collapsed="false">
      <c r="B7" s="62" t="s">
        <v>503</v>
      </c>
      <c r="C7" s="63" t="s">
        <v>504</v>
      </c>
      <c r="D7" s="62" t="s">
        <v>505</v>
      </c>
      <c r="E7" s="63" t="s">
        <v>506</v>
      </c>
      <c r="F7" s="62" t="s">
        <v>507</v>
      </c>
      <c r="G7" s="63" t="s">
        <v>508</v>
      </c>
      <c r="H7" s="62" t="s">
        <v>509</v>
      </c>
      <c r="I7" s="63" t="s">
        <v>510</v>
      </c>
    </row>
    <row r="8" customFormat="false" ht="19.5" hidden="false" customHeight="true" outlineLevel="0" collapsed="false">
      <c r="B8" s="41" t="s">
        <v>511</v>
      </c>
      <c r="C8" s="41" t="s">
        <v>512</v>
      </c>
      <c r="D8" s="41" t="s">
        <v>513</v>
      </c>
      <c r="E8" s="41" t="s">
        <v>416</v>
      </c>
    </row>
    <row r="9" customFormat="false" ht="15" hidden="false" customHeight="false" outlineLevel="0" collapsed="false">
      <c r="B9" s="42" t="s">
        <v>514</v>
      </c>
      <c r="C9" s="55" t="n">
        <v>5.55</v>
      </c>
      <c r="D9" s="55" t="n">
        <v>11.1</v>
      </c>
      <c r="E9" s="72" t="s">
        <v>515</v>
      </c>
    </row>
    <row r="10" customFormat="false" ht="15" hidden="false" customHeight="false" outlineLevel="0" collapsed="false">
      <c r="B10" s="42" t="s">
        <v>516</v>
      </c>
      <c r="C10" s="55" t="n">
        <v>1.05</v>
      </c>
      <c r="D10" s="55" t="n">
        <v>3.3</v>
      </c>
      <c r="E10" s="72" t="s">
        <v>517</v>
      </c>
    </row>
    <row r="11" customFormat="false" ht="15" hidden="false" customHeight="false" outlineLevel="0" collapsed="false">
      <c r="B11" s="42" t="s">
        <v>518</v>
      </c>
      <c r="C11" s="55" t="n">
        <v>0.4</v>
      </c>
      <c r="D11" s="55" t="n">
        <v>0.8</v>
      </c>
      <c r="E11" s="72" t="s">
        <v>253</v>
      </c>
    </row>
    <row r="12" customFormat="false" ht="15" hidden="false" customHeight="false" outlineLevel="0" collapsed="false">
      <c r="B12" s="42" t="s">
        <v>519</v>
      </c>
      <c r="C12" s="55" t="n">
        <v>0.3</v>
      </c>
      <c r="D12" s="55" t="n">
        <v>0.6</v>
      </c>
      <c r="E12" s="72" t="s">
        <v>520</v>
      </c>
    </row>
    <row r="13" customFormat="false" ht="15" hidden="false" customHeight="false" outlineLevel="0" collapsed="false">
      <c r="B13" s="42" t="s">
        <v>521</v>
      </c>
      <c r="C13" s="57" t="n">
        <f aca="false">SUM(C9:C12)</f>
        <v>7.3</v>
      </c>
      <c r="D13" s="57" t="n">
        <f aca="false">SUM(D9:D12)</f>
        <v>15.8</v>
      </c>
      <c r="E13" s="72" t="s">
        <v>522</v>
      </c>
    </row>
    <row r="14" customFormat="false" ht="15" hidden="false" customHeight="false" outlineLevel="0" collapsed="false">
      <c r="B14" s="42" t="s">
        <v>523</v>
      </c>
      <c r="C14" s="55" t="n">
        <v>7</v>
      </c>
      <c r="D14" s="55" t="n">
        <v>14.2</v>
      </c>
      <c r="E14" s="72" t="s">
        <v>524</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I15"/>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2" style="0" width="34"/>
    <col collapsed="false" customWidth="true" hidden="false" outlineLevel="0" max="3" min="3" style="0" width="18"/>
    <col collapsed="false" customWidth="true" hidden="false" outlineLevel="0" max="4" min="4" style="0" width="40"/>
  </cols>
  <sheetData>
    <row r="2" customFormat="false" ht="24" hidden="false" customHeight="true" outlineLevel="0" collapsed="false">
      <c r="E2" s="11" t="s">
        <v>525</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526</v>
      </c>
    </row>
    <row r="6" customFormat="false" ht="15" hidden="false" customHeight="false" outlineLevel="0" collapsed="false">
      <c r="B6" s="15" t="s">
        <v>527</v>
      </c>
    </row>
    <row r="7" customFormat="false" ht="15" hidden="false" customHeight="false" outlineLevel="0" collapsed="false">
      <c r="B7" s="62" t="s">
        <v>528</v>
      </c>
      <c r="C7" s="63" t="s">
        <v>529</v>
      </c>
      <c r="D7" s="62" t="s">
        <v>530</v>
      </c>
      <c r="E7" s="63" t="s">
        <v>531</v>
      </c>
      <c r="F7" s="62" t="s">
        <v>532</v>
      </c>
      <c r="G7" s="63" t="s">
        <v>533</v>
      </c>
      <c r="H7" s="62" t="s">
        <v>534</v>
      </c>
      <c r="I7" s="63" t="s">
        <v>535</v>
      </c>
    </row>
    <row r="8" customFormat="false" ht="19.5" hidden="false" customHeight="true" outlineLevel="0" collapsed="false">
      <c r="B8" s="41" t="s">
        <v>536</v>
      </c>
      <c r="C8" s="41" t="s">
        <v>537</v>
      </c>
      <c r="D8" s="41" t="s">
        <v>538</v>
      </c>
    </row>
    <row r="9" customFormat="false" ht="15" hidden="false" customHeight="false" outlineLevel="0" collapsed="false">
      <c r="B9" s="42" t="s">
        <v>539</v>
      </c>
      <c r="C9" s="42" t="s">
        <v>540</v>
      </c>
      <c r="D9" s="42" t="s">
        <v>541</v>
      </c>
    </row>
    <row r="10" customFormat="false" ht="15" hidden="false" customHeight="false" outlineLevel="0" collapsed="false">
      <c r="B10" s="42" t="s">
        <v>542</v>
      </c>
      <c r="C10" s="42" t="s">
        <v>543</v>
      </c>
      <c r="D10" s="42" t="s">
        <v>242</v>
      </c>
    </row>
    <row r="11" customFormat="false" ht="15" hidden="false" customHeight="false" outlineLevel="0" collapsed="false">
      <c r="B11" s="42" t="s">
        <v>544</v>
      </c>
      <c r="C11" s="42" t="s">
        <v>545</v>
      </c>
      <c r="D11" s="42" t="s">
        <v>546</v>
      </c>
    </row>
    <row r="12" customFormat="false" ht="15" hidden="false" customHeight="false" outlineLevel="0" collapsed="false">
      <c r="B12" s="42" t="s">
        <v>518</v>
      </c>
      <c r="C12" s="42" t="s">
        <v>547</v>
      </c>
      <c r="D12" s="42" t="s">
        <v>548</v>
      </c>
    </row>
    <row r="13" customFormat="false" ht="15" hidden="false" customHeight="false" outlineLevel="0" collapsed="false">
      <c r="B13" s="42" t="s">
        <v>549</v>
      </c>
      <c r="C13" s="42" t="s">
        <v>550</v>
      </c>
      <c r="D13" s="42" t="s">
        <v>551</v>
      </c>
    </row>
    <row r="14" customFormat="false" ht="15" hidden="false" customHeight="false" outlineLevel="0" collapsed="false">
      <c r="B14" s="42" t="s">
        <v>552</v>
      </c>
      <c r="C14" s="42" t="s">
        <v>553</v>
      </c>
      <c r="D14" s="42" t="s">
        <v>554</v>
      </c>
    </row>
    <row r="15" customFormat="false" ht="15" hidden="false" customHeight="false" outlineLevel="0" collapsed="false">
      <c r="B15" s="42" t="s">
        <v>555</v>
      </c>
      <c r="C15" s="42" t="s">
        <v>556</v>
      </c>
      <c r="D15" s="42" t="s">
        <v>557</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AS38"/>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2" min="2" style="0" width="10"/>
    <col collapsed="false" customWidth="true" hidden="false" outlineLevel="0" max="4" min="3" style="0" width="15"/>
    <col collapsed="false" customWidth="true" hidden="false" outlineLevel="0" max="5" min="5" style="0" width="26"/>
    <col collapsed="false" customWidth="true" hidden="false" outlineLevel="0" max="6" min="6" style="0" width="34"/>
    <col collapsed="false" customWidth="true" hidden="false" outlineLevel="0" max="45" min="10" style="0" width="3"/>
  </cols>
  <sheetData>
    <row r="2" customFormat="false" ht="24" hidden="false" customHeight="true" outlineLevel="0" collapsed="false">
      <c r="E2" s="11" t="s">
        <v>558</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559</v>
      </c>
    </row>
    <row r="6" customFormat="false" ht="15" hidden="false" customHeight="false" outlineLevel="0" collapsed="false">
      <c r="B6" s="15" t="s">
        <v>560</v>
      </c>
    </row>
    <row r="7" customFormat="false" ht="15" hidden="false" customHeight="false" outlineLevel="0" collapsed="false">
      <c r="B7" s="62" t="s">
        <v>561</v>
      </c>
      <c r="C7" s="63" t="s">
        <v>96</v>
      </c>
      <c r="D7" s="62" t="s">
        <v>562</v>
      </c>
      <c r="E7" s="63" t="s">
        <v>563</v>
      </c>
      <c r="F7" s="62" t="s">
        <v>564</v>
      </c>
      <c r="G7" s="63" t="s">
        <v>565</v>
      </c>
      <c r="H7" s="62" t="s">
        <v>566</v>
      </c>
      <c r="I7" s="63" t="s">
        <v>567</v>
      </c>
    </row>
    <row r="8" customFormat="false" ht="19.5" hidden="false" customHeight="true" outlineLevel="0" collapsed="false">
      <c r="B8" s="41" t="s">
        <v>568</v>
      </c>
      <c r="C8" s="41" t="s">
        <v>569</v>
      </c>
      <c r="D8" s="41" t="s">
        <v>570</v>
      </c>
      <c r="E8" s="41" t="s">
        <v>571</v>
      </c>
      <c r="F8" s="41" t="s">
        <v>572</v>
      </c>
    </row>
    <row r="9" customFormat="false" ht="15" hidden="false" customHeight="false" outlineLevel="0" collapsed="false">
      <c r="B9" s="42" t="s">
        <v>90</v>
      </c>
      <c r="C9" s="65" t="n">
        <v>236000</v>
      </c>
      <c r="D9" s="65" t="n">
        <v>236000</v>
      </c>
      <c r="E9" s="42" t="s">
        <v>573</v>
      </c>
      <c r="F9" s="72" t="s">
        <v>574</v>
      </c>
    </row>
    <row r="10" customFormat="false" ht="15" hidden="false" customHeight="false" outlineLevel="0" collapsed="false">
      <c r="B10" s="42" t="s">
        <v>96</v>
      </c>
      <c r="C10" s="65" t="n">
        <v>236000</v>
      </c>
      <c r="D10" s="65" t="n">
        <v>472000</v>
      </c>
      <c r="E10" s="42" t="s">
        <v>573</v>
      </c>
      <c r="F10" s="72" t="s">
        <v>575</v>
      </c>
    </row>
    <row r="11" customFormat="false" ht="15" hidden="false" customHeight="false" outlineLevel="0" collapsed="false">
      <c r="B11" s="42" t="s">
        <v>98</v>
      </c>
      <c r="C11" s="65" t="n">
        <v>196800</v>
      </c>
      <c r="D11" s="65" t="n">
        <v>668800</v>
      </c>
      <c r="E11" s="42" t="s">
        <v>573</v>
      </c>
      <c r="F11" s="72" t="s">
        <v>576</v>
      </c>
    </row>
    <row r="12" customFormat="false" ht="15" hidden="false" customHeight="false" outlineLevel="0" collapsed="false">
      <c r="B12" s="42" t="s">
        <v>67</v>
      </c>
      <c r="C12" s="65" t="n">
        <v>196800</v>
      </c>
      <c r="D12" s="65" t="n">
        <v>865600</v>
      </c>
      <c r="E12" s="42" t="s">
        <v>573</v>
      </c>
      <c r="F12" s="72" t="s">
        <v>577</v>
      </c>
    </row>
    <row r="13" customFormat="false" ht="15" hidden="false" customHeight="false" outlineLevel="0" collapsed="false">
      <c r="B13" s="42" t="s">
        <v>72</v>
      </c>
      <c r="C13" s="65" t="n">
        <v>196800</v>
      </c>
      <c r="D13" s="65" t="n">
        <v>1062400</v>
      </c>
      <c r="E13" s="42" t="s">
        <v>573</v>
      </c>
      <c r="F13" s="72" t="s">
        <v>578</v>
      </c>
    </row>
    <row r="14" customFormat="false" ht="15" hidden="false" customHeight="false" outlineLevel="0" collapsed="false">
      <c r="B14" s="42" t="s">
        <v>102</v>
      </c>
      <c r="C14" s="65" t="n">
        <v>196800</v>
      </c>
      <c r="D14" s="65" t="n">
        <v>1259200</v>
      </c>
      <c r="E14" s="42" t="s">
        <v>573</v>
      </c>
      <c r="F14" s="72" t="s">
        <v>579</v>
      </c>
    </row>
    <row r="15" customFormat="false" ht="15" hidden="false" customHeight="false" outlineLevel="0" collapsed="false">
      <c r="B15" s="42" t="s">
        <v>104</v>
      </c>
      <c r="C15" s="65" t="n">
        <v>196800</v>
      </c>
      <c r="D15" s="65" t="n">
        <v>1456000</v>
      </c>
      <c r="E15" s="42" t="s">
        <v>573</v>
      </c>
      <c r="F15" s="72" t="s">
        <v>580</v>
      </c>
    </row>
    <row r="16" customFormat="false" ht="15" hidden="false" customHeight="false" outlineLevel="0" collapsed="false">
      <c r="B16" s="42" t="s">
        <v>106</v>
      </c>
      <c r="C16" s="65" t="n">
        <v>196800</v>
      </c>
      <c r="D16" s="65" t="n">
        <v>1652800</v>
      </c>
      <c r="E16" s="42" t="s">
        <v>573</v>
      </c>
      <c r="F16" s="72" t="s">
        <v>581</v>
      </c>
    </row>
    <row r="17" customFormat="false" ht="15" hidden="false" customHeight="false" outlineLevel="0" collapsed="false">
      <c r="B17" s="42" t="s">
        <v>108</v>
      </c>
      <c r="C17" s="65" t="n">
        <v>196800</v>
      </c>
      <c r="D17" s="65" t="n">
        <v>1849600</v>
      </c>
      <c r="E17" s="42" t="s">
        <v>573</v>
      </c>
      <c r="F17" s="72" t="s">
        <v>582</v>
      </c>
    </row>
    <row r="18" customFormat="false" ht="15" hidden="false" customHeight="false" outlineLevel="0" collapsed="false">
      <c r="B18" s="42" t="s">
        <v>110</v>
      </c>
      <c r="C18" s="65" t="n">
        <v>196800</v>
      </c>
      <c r="D18" s="65" t="n">
        <v>2046400</v>
      </c>
      <c r="E18" s="42" t="s">
        <v>573</v>
      </c>
      <c r="F18" s="72" t="s">
        <v>583</v>
      </c>
    </row>
    <row r="19" customFormat="false" ht="15" hidden="false" customHeight="false" outlineLevel="0" collapsed="false">
      <c r="B19" s="42" t="s">
        <v>112</v>
      </c>
      <c r="C19" s="65" t="n">
        <v>196800</v>
      </c>
      <c r="D19" s="65" t="n">
        <v>2243200</v>
      </c>
      <c r="E19" s="42" t="s">
        <v>573</v>
      </c>
      <c r="F19" s="72" t="s">
        <v>584</v>
      </c>
    </row>
    <row r="20" customFormat="false" ht="15" hidden="false" customHeight="false" outlineLevel="0" collapsed="false">
      <c r="B20" s="42" t="s">
        <v>114</v>
      </c>
      <c r="C20" s="65" t="n">
        <v>196800</v>
      </c>
      <c r="D20" s="65" t="n">
        <v>2440000</v>
      </c>
      <c r="E20" s="42" t="s">
        <v>573</v>
      </c>
      <c r="F20" s="72" t="s">
        <v>585</v>
      </c>
    </row>
    <row r="21" customFormat="false" ht="15" hidden="false" customHeight="false" outlineLevel="0" collapsed="false">
      <c r="B21" s="42" t="s">
        <v>116</v>
      </c>
      <c r="C21" s="65" t="n">
        <v>196800</v>
      </c>
      <c r="D21" s="65" t="n">
        <v>2636800</v>
      </c>
      <c r="E21" s="42" t="s">
        <v>573</v>
      </c>
      <c r="F21" s="72" t="s">
        <v>586</v>
      </c>
    </row>
    <row r="22" customFormat="false" ht="15" hidden="false" customHeight="false" outlineLevel="0" collapsed="false">
      <c r="B22" s="42" t="s">
        <v>117</v>
      </c>
      <c r="C22" s="65" t="n">
        <v>196800</v>
      </c>
      <c r="D22" s="65" t="n">
        <v>2833600</v>
      </c>
      <c r="E22" s="42" t="s">
        <v>573</v>
      </c>
      <c r="F22" s="72" t="s">
        <v>587</v>
      </c>
    </row>
    <row r="23" customFormat="false" ht="15" hidden="false" customHeight="false" outlineLevel="0" collapsed="false">
      <c r="B23" s="42" t="s">
        <v>119</v>
      </c>
      <c r="C23" s="65" t="n">
        <v>196800</v>
      </c>
      <c r="D23" s="65" t="n">
        <v>3030400</v>
      </c>
      <c r="E23" s="42" t="s">
        <v>573</v>
      </c>
      <c r="F23" s="72" t="s">
        <v>588</v>
      </c>
    </row>
    <row r="24" customFormat="false" ht="15" hidden="false" customHeight="false" outlineLevel="0" collapsed="false">
      <c r="B24" s="42" t="s">
        <v>121</v>
      </c>
      <c r="C24" s="65" t="n">
        <v>196800</v>
      </c>
      <c r="D24" s="65" t="n">
        <v>3227200</v>
      </c>
      <c r="E24" s="42" t="s">
        <v>573</v>
      </c>
      <c r="F24" s="72" t="s">
        <v>589</v>
      </c>
    </row>
    <row r="25" customFormat="false" ht="15" hidden="false" customHeight="false" outlineLevel="0" collapsed="false">
      <c r="B25" s="67" t="s">
        <v>590</v>
      </c>
      <c r="C25" s="68" t="n">
        <f aca="false">SUM(C9:C24)</f>
        <v>3227200</v>
      </c>
    </row>
    <row r="27" customFormat="false" ht="19.5" hidden="false" customHeight="true" outlineLevel="0" collapsed="false">
      <c r="B27" s="21" t="s">
        <v>591</v>
      </c>
      <c r="C27" s="21"/>
      <c r="D27" s="21"/>
      <c r="E27" s="21"/>
      <c r="F27" s="21"/>
      <c r="G27" s="21"/>
      <c r="H27" s="21"/>
    </row>
    <row r="28" customFormat="false" ht="15" hidden="false" customHeight="false" outlineLevel="0" collapsed="false">
      <c r="I28" s="15" t="s">
        <v>90</v>
      </c>
      <c r="J28" s="73" t="n">
        <v>1</v>
      </c>
      <c r="K28" s="73" t="n">
        <v>2</v>
      </c>
      <c r="L28" s="73" t="n">
        <v>3</v>
      </c>
      <c r="M28" s="73" t="n">
        <v>4</v>
      </c>
      <c r="N28" s="73" t="n">
        <v>5</v>
      </c>
      <c r="O28" s="73" t="n">
        <v>6</v>
      </c>
      <c r="P28" s="73" t="n">
        <v>7</v>
      </c>
      <c r="Q28" s="73" t="n">
        <v>8</v>
      </c>
      <c r="R28" s="73" t="n">
        <v>9</v>
      </c>
      <c r="S28" s="73" t="n">
        <v>10</v>
      </c>
      <c r="T28" s="73" t="n">
        <v>11</v>
      </c>
      <c r="U28" s="73" t="n">
        <v>12</v>
      </c>
      <c r="V28" s="73" t="n">
        <v>13</v>
      </c>
      <c r="W28" s="73" t="n">
        <v>14</v>
      </c>
      <c r="X28" s="73" t="n">
        <v>15</v>
      </c>
      <c r="Y28" s="73" t="n">
        <v>16</v>
      </c>
      <c r="Z28" s="73" t="n">
        <v>17</v>
      </c>
      <c r="AA28" s="73" t="n">
        <v>18</v>
      </c>
      <c r="AB28" s="73" t="n">
        <v>19</v>
      </c>
      <c r="AC28" s="73" t="n">
        <v>20</v>
      </c>
      <c r="AD28" s="73" t="n">
        <v>21</v>
      </c>
      <c r="AE28" s="73" t="n">
        <v>22</v>
      </c>
      <c r="AF28" s="73" t="n">
        <v>23</v>
      </c>
      <c r="AG28" s="73" t="n">
        <v>24</v>
      </c>
      <c r="AH28" s="73" t="n">
        <v>25</v>
      </c>
      <c r="AI28" s="73" t="n">
        <v>26</v>
      </c>
      <c r="AJ28" s="73" t="n">
        <v>27</v>
      </c>
      <c r="AK28" s="73" t="n">
        <v>28</v>
      </c>
      <c r="AL28" s="73" t="n">
        <v>29</v>
      </c>
      <c r="AM28" s="73" t="n">
        <v>30</v>
      </c>
      <c r="AN28" s="73" t="n">
        <v>31</v>
      </c>
      <c r="AO28" s="73" t="n">
        <v>32</v>
      </c>
      <c r="AP28" s="73" t="n">
        <v>33</v>
      </c>
      <c r="AQ28" s="73" t="n">
        <v>34</v>
      </c>
      <c r="AR28" s="73" t="n">
        <v>35</v>
      </c>
      <c r="AS28" s="73" t="n">
        <v>36</v>
      </c>
    </row>
    <row r="29" customFormat="false" ht="15" hidden="false" customHeight="false" outlineLevel="0" collapsed="false">
      <c r="I29" s="15" t="s">
        <v>592</v>
      </c>
      <c r="J29" s="1"/>
      <c r="K29" s="74"/>
      <c r="L29" s="74"/>
      <c r="P29" s="1"/>
      <c r="Q29" s="74"/>
      <c r="R29" s="1"/>
      <c r="S29" s="74"/>
      <c r="T29" s="1"/>
      <c r="U29" s="74"/>
      <c r="V29" s="1"/>
      <c r="W29" s="74"/>
      <c r="X29" s="1"/>
      <c r="Y29" s="74"/>
      <c r="Z29" s="1"/>
      <c r="AA29" s="74"/>
      <c r="AB29" s="1"/>
      <c r="AC29" s="74"/>
      <c r="AD29" s="1"/>
      <c r="AE29" s="74"/>
      <c r="AF29" s="1"/>
      <c r="AG29" s="74"/>
      <c r="AH29" s="1"/>
      <c r="AI29" s="74"/>
      <c r="AJ29" s="1"/>
      <c r="AK29" s="74"/>
      <c r="AL29" s="1"/>
      <c r="AM29" s="74"/>
      <c r="AN29" s="1"/>
      <c r="AO29" s="74"/>
      <c r="AP29" s="1"/>
      <c r="AQ29" s="74"/>
      <c r="AR29" s="1"/>
      <c r="AS29" s="74"/>
    </row>
    <row r="31" customFormat="false" ht="19.5" hidden="false" customHeight="true" outlineLevel="0" collapsed="false">
      <c r="B31" s="21" t="s">
        <v>593</v>
      </c>
      <c r="C31" s="21"/>
      <c r="D31" s="21"/>
      <c r="E31" s="21"/>
      <c r="F31" s="21"/>
      <c r="G31" s="21"/>
      <c r="H31" s="21"/>
      <c r="I31" s="21"/>
      <c r="J31" s="21"/>
    </row>
    <row r="32" customFormat="false" ht="19.5" hidden="false" customHeight="true" outlineLevel="0" collapsed="false">
      <c r="B32" s="41" t="s">
        <v>164</v>
      </c>
      <c r="C32" s="41" t="s">
        <v>594</v>
      </c>
      <c r="D32" s="41" t="s">
        <v>595</v>
      </c>
      <c r="E32" s="41" t="s">
        <v>416</v>
      </c>
    </row>
    <row r="33" customFormat="false" ht="15" hidden="false" customHeight="false" outlineLevel="0" collapsed="false">
      <c r="B33" s="42" t="s">
        <v>128</v>
      </c>
      <c r="C33" s="65" t="n">
        <v>440720</v>
      </c>
      <c r="D33" s="75" t="s">
        <v>596</v>
      </c>
      <c r="E33" s="72" t="s">
        <v>597</v>
      </c>
    </row>
    <row r="34" customFormat="false" ht="15" hidden="false" customHeight="false" outlineLevel="0" collapsed="false">
      <c r="B34" s="42" t="s">
        <v>129</v>
      </c>
      <c r="C34" s="65" t="n">
        <v>629600</v>
      </c>
      <c r="D34" s="75" t="s">
        <v>596</v>
      </c>
      <c r="E34" s="72" t="s">
        <v>598</v>
      </c>
    </row>
    <row r="35" customFormat="false" ht="15" hidden="false" customHeight="false" outlineLevel="0" collapsed="false">
      <c r="B35" s="42" t="s">
        <v>130</v>
      </c>
      <c r="C35" s="65" t="n">
        <v>862552</v>
      </c>
      <c r="D35" s="75" t="s">
        <v>596</v>
      </c>
      <c r="E35" s="72" t="s">
        <v>597</v>
      </c>
    </row>
    <row r="37" customFormat="false" ht="15" hidden="false" customHeight="true" outlineLevel="0" collapsed="false">
      <c r="B37" s="34" t="s">
        <v>599</v>
      </c>
      <c r="C37" s="34"/>
      <c r="D37" s="34"/>
      <c r="E37" s="34"/>
      <c r="F37" s="34"/>
      <c r="G37" s="34"/>
      <c r="H37" s="34"/>
      <c r="I37" s="34"/>
      <c r="J37" s="34"/>
    </row>
    <row r="38" customFormat="false" ht="15" hidden="false" customHeight="false" outlineLevel="0" collapsed="false">
      <c r="B38" s="34"/>
      <c r="C38" s="34"/>
      <c r="D38" s="34"/>
      <c r="E38" s="34"/>
      <c r="F38" s="34"/>
      <c r="G38" s="34"/>
      <c r="H38" s="34"/>
      <c r="I38" s="34"/>
      <c r="J38" s="34"/>
    </row>
  </sheetData>
  <mergeCells count="3">
    <mergeCell ref="B27:H27"/>
    <mergeCell ref="B31:J31"/>
    <mergeCell ref="B37:J38"/>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I16"/>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2" style="0" width="36"/>
    <col collapsed="false" customWidth="true" hidden="false" outlineLevel="0" max="3" min="3" style="0" width="22"/>
    <col collapsed="false" customWidth="true" hidden="false" outlineLevel="0" max="4" min="4" style="0" width="42"/>
  </cols>
  <sheetData>
    <row r="2" customFormat="false" ht="24" hidden="false" customHeight="true" outlineLevel="0" collapsed="false">
      <c r="E2" s="11" t="s">
        <v>600</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601</v>
      </c>
    </row>
    <row r="6" customFormat="false" ht="15" hidden="false" customHeight="false" outlineLevel="0" collapsed="false">
      <c r="B6" s="15" t="s">
        <v>602</v>
      </c>
    </row>
    <row r="7" customFormat="false" ht="15" hidden="false" customHeight="false" outlineLevel="0" collapsed="false">
      <c r="B7" s="62" t="s">
        <v>603</v>
      </c>
      <c r="C7" s="63" t="s">
        <v>604</v>
      </c>
      <c r="D7" s="62" t="s">
        <v>605</v>
      </c>
      <c r="E7" s="63" t="s">
        <v>606</v>
      </c>
      <c r="F7" s="62" t="s">
        <v>607</v>
      </c>
      <c r="G7" s="63" t="s">
        <v>608</v>
      </c>
      <c r="H7" s="62" t="s">
        <v>564</v>
      </c>
      <c r="I7" s="63" t="s">
        <v>609</v>
      </c>
    </row>
    <row r="8" customFormat="false" ht="19.5" hidden="false" customHeight="true" outlineLevel="0" collapsed="false">
      <c r="B8" s="41" t="s">
        <v>610</v>
      </c>
      <c r="C8" s="41" t="s">
        <v>611</v>
      </c>
      <c r="D8" s="41" t="s">
        <v>416</v>
      </c>
    </row>
    <row r="9" customFormat="false" ht="23.85" hidden="false" customHeight="false" outlineLevel="0" collapsed="false">
      <c r="B9" s="47" t="s">
        <v>612</v>
      </c>
      <c r="C9" s="47" t="s">
        <v>604</v>
      </c>
      <c r="D9" s="47" t="s">
        <v>613</v>
      </c>
    </row>
    <row r="10" customFormat="false" ht="23.85" hidden="false" customHeight="false" outlineLevel="0" collapsed="false">
      <c r="B10" s="47" t="s">
        <v>614</v>
      </c>
      <c r="C10" s="47" t="s">
        <v>606</v>
      </c>
      <c r="D10" s="47" t="s">
        <v>615</v>
      </c>
    </row>
    <row r="11" customFormat="false" ht="15" hidden="false" customHeight="false" outlineLevel="0" collapsed="false">
      <c r="B11" s="47" t="s">
        <v>616</v>
      </c>
      <c r="C11" s="47" t="s">
        <v>617</v>
      </c>
      <c r="D11" s="47" t="s">
        <v>618</v>
      </c>
    </row>
    <row r="12" customFormat="false" ht="15" hidden="false" customHeight="false" outlineLevel="0" collapsed="false">
      <c r="B12" s="47" t="s">
        <v>619</v>
      </c>
      <c r="C12" s="47" t="s">
        <v>620</v>
      </c>
      <c r="D12" s="47" t="s">
        <v>621</v>
      </c>
    </row>
    <row r="13" customFormat="false" ht="15" hidden="false" customHeight="false" outlineLevel="0" collapsed="false">
      <c r="B13" s="47" t="s">
        <v>622</v>
      </c>
      <c r="C13" s="47" t="s">
        <v>623</v>
      </c>
      <c r="D13" s="47" t="s">
        <v>624</v>
      </c>
    </row>
    <row r="14" customFormat="false" ht="15" hidden="false" customHeight="false" outlineLevel="0" collapsed="false">
      <c r="B14" s="47" t="s">
        <v>625</v>
      </c>
      <c r="C14" s="47" t="s">
        <v>626</v>
      </c>
      <c r="D14" s="47" t="s">
        <v>627</v>
      </c>
    </row>
    <row r="15" customFormat="false" ht="15" hidden="false" customHeight="false" outlineLevel="0" collapsed="false">
      <c r="B15" s="47" t="s">
        <v>628</v>
      </c>
      <c r="C15" s="47" t="s">
        <v>629</v>
      </c>
      <c r="D15" s="47" t="s">
        <v>630</v>
      </c>
    </row>
    <row r="16" customFormat="false" ht="15" hidden="false" customHeight="false" outlineLevel="0" collapsed="false">
      <c r="B16" s="47" t="s">
        <v>631</v>
      </c>
      <c r="C16" s="47" t="s">
        <v>632</v>
      </c>
      <c r="D16" s="47" t="s">
        <v>633</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52435"/>
    <pageSetUpPr fitToPage="false"/>
  </sheetPr>
  <dimension ref="B2:H28"/>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7" topLeftCell="A8"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2" min="2" style="0" width="30"/>
    <col collapsed="false" customWidth="true" hidden="false" outlineLevel="0" max="3" min="3" style="0" width="104"/>
  </cols>
  <sheetData>
    <row r="2" customFormat="false" ht="24" hidden="false" customHeight="true" outlineLevel="0" collapsed="false">
      <c r="E2" s="11" t="s">
        <v>23</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29</v>
      </c>
    </row>
    <row r="6" customFormat="false" ht="15" hidden="false" customHeight="false" outlineLevel="0" collapsed="false">
      <c r="B6" s="15" t="s">
        <v>30</v>
      </c>
    </row>
    <row r="8" customFormat="false" ht="25.5" hidden="false" customHeight="true" outlineLevel="0" collapsed="false">
      <c r="B8" s="16" t="s">
        <v>31</v>
      </c>
      <c r="C8" s="17" t="s">
        <v>32</v>
      </c>
    </row>
    <row r="10" customFormat="false" ht="15.75" hidden="false" customHeight="true" outlineLevel="0" collapsed="false">
      <c r="B10" s="16" t="s">
        <v>33</v>
      </c>
      <c r="C10" s="17" t="s">
        <v>34</v>
      </c>
    </row>
    <row r="12" customFormat="false" ht="25.5" hidden="false" customHeight="true" outlineLevel="0" collapsed="false">
      <c r="B12" s="16" t="s">
        <v>35</v>
      </c>
      <c r="C12" s="17" t="s">
        <v>36</v>
      </c>
    </row>
    <row r="14" customFormat="false" ht="25.5" hidden="false" customHeight="true" outlineLevel="0" collapsed="false">
      <c r="B14" s="16" t="s">
        <v>37</v>
      </c>
      <c r="C14" s="17" t="s">
        <v>38</v>
      </c>
    </row>
    <row r="16" customFormat="false" ht="39" hidden="false" customHeight="true" outlineLevel="0" collapsed="false">
      <c r="B16" s="16" t="s">
        <v>39</v>
      </c>
      <c r="C16" s="17" t="s">
        <v>40</v>
      </c>
    </row>
    <row r="18" customFormat="false" ht="25.5" hidden="false" customHeight="true" outlineLevel="0" collapsed="false">
      <c r="B18" s="16" t="s">
        <v>41</v>
      </c>
      <c r="C18" s="17" t="s">
        <v>42</v>
      </c>
    </row>
    <row r="20" customFormat="false" ht="25.5" hidden="false" customHeight="true" outlineLevel="0" collapsed="false">
      <c r="B20" s="16" t="s">
        <v>43</v>
      </c>
      <c r="C20" s="17" t="s">
        <v>44</v>
      </c>
    </row>
    <row r="22" customFormat="false" ht="39" hidden="false" customHeight="true" outlineLevel="0" collapsed="false">
      <c r="B22" s="16" t="s">
        <v>45</v>
      </c>
      <c r="C22" s="17" t="s">
        <v>46</v>
      </c>
    </row>
    <row r="24" customFormat="false" ht="90.75" hidden="false" customHeight="true" outlineLevel="0" collapsed="false">
      <c r="B24" s="16" t="s">
        <v>47</v>
      </c>
      <c r="C24" s="17" t="s">
        <v>48</v>
      </c>
    </row>
    <row r="26" customFormat="false" ht="90.75" hidden="false" customHeight="true" outlineLevel="0" collapsed="false">
      <c r="B26" s="16" t="s">
        <v>49</v>
      </c>
      <c r="C26" s="17" t="s">
        <v>50</v>
      </c>
    </row>
    <row r="28" customFormat="false" ht="15.75" hidden="false" customHeight="true" outlineLevel="0" collapsed="false">
      <c r="B28" s="16" t="s">
        <v>51</v>
      </c>
      <c r="C28" s="17" t="s">
        <v>52</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I13"/>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2" style="0" width="30"/>
    <col collapsed="false" customWidth="true" hidden="false" outlineLevel="0" max="4" min="3" style="0" width="14"/>
    <col collapsed="false" customWidth="true" hidden="false" outlineLevel="0" max="5" min="5" style="0" width="34"/>
  </cols>
  <sheetData>
    <row r="2" customFormat="false" ht="24" hidden="false" customHeight="true" outlineLevel="0" collapsed="false">
      <c r="E2" s="11" t="s">
        <v>634</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635</v>
      </c>
    </row>
    <row r="6" customFormat="false" ht="15" hidden="false" customHeight="false" outlineLevel="0" collapsed="false">
      <c r="B6" s="15" t="s">
        <v>636</v>
      </c>
    </row>
    <row r="7" customFormat="false" ht="15" hidden="false" customHeight="false" outlineLevel="0" collapsed="false">
      <c r="B7" s="62" t="s">
        <v>637</v>
      </c>
      <c r="C7" s="63" t="s">
        <v>638</v>
      </c>
      <c r="D7" s="62" t="s">
        <v>639</v>
      </c>
      <c r="E7" s="63" t="s">
        <v>640</v>
      </c>
      <c r="F7" s="62" t="s">
        <v>641</v>
      </c>
      <c r="G7" s="63" t="s">
        <v>92</v>
      </c>
      <c r="H7" s="62" t="s">
        <v>642</v>
      </c>
      <c r="I7" s="63" t="s">
        <v>643</v>
      </c>
    </row>
    <row r="8" customFormat="false" ht="19.5" hidden="false" customHeight="true" outlineLevel="0" collapsed="false">
      <c r="B8" s="41" t="s">
        <v>644</v>
      </c>
      <c r="C8" s="41" t="s">
        <v>645</v>
      </c>
      <c r="D8" s="41" t="s">
        <v>646</v>
      </c>
      <c r="E8" s="41" t="s">
        <v>538</v>
      </c>
    </row>
    <row r="9" customFormat="false" ht="15" hidden="false" customHeight="false" outlineLevel="0" collapsed="false">
      <c r="B9" s="42" t="s">
        <v>647</v>
      </c>
      <c r="C9" s="42" t="s">
        <v>90</v>
      </c>
      <c r="D9" s="64" t="n">
        <v>45000</v>
      </c>
      <c r="E9" s="72" t="s">
        <v>648</v>
      </c>
    </row>
    <row r="10" customFormat="false" ht="15" hidden="false" customHeight="false" outlineLevel="0" collapsed="false">
      <c r="B10" s="42" t="s">
        <v>649</v>
      </c>
      <c r="C10" s="42" t="s">
        <v>92</v>
      </c>
      <c r="D10" s="64" t="n">
        <v>55000</v>
      </c>
      <c r="E10" s="72" t="s">
        <v>650</v>
      </c>
    </row>
    <row r="11" customFormat="false" ht="15" hidden="false" customHeight="false" outlineLevel="0" collapsed="false">
      <c r="B11" s="42" t="s">
        <v>651</v>
      </c>
      <c r="C11" s="42" t="s">
        <v>95</v>
      </c>
      <c r="D11" s="64" t="n">
        <v>48000</v>
      </c>
      <c r="E11" s="72" t="s">
        <v>650</v>
      </c>
    </row>
    <row r="12" customFormat="false" ht="15" hidden="false" customHeight="false" outlineLevel="0" collapsed="false">
      <c r="B12" s="42" t="s">
        <v>652</v>
      </c>
      <c r="C12" s="42" t="s">
        <v>90</v>
      </c>
      <c r="D12" s="64" t="n">
        <v>30000</v>
      </c>
      <c r="E12" s="72" t="s">
        <v>653</v>
      </c>
    </row>
    <row r="13" customFormat="false" ht="15" hidden="false" customHeight="false" outlineLevel="0" collapsed="false">
      <c r="B13" s="42" t="s">
        <v>654</v>
      </c>
      <c r="C13" s="42" t="s">
        <v>95</v>
      </c>
      <c r="D13" s="64" t="n">
        <v>20000</v>
      </c>
      <c r="E13" s="72" t="s">
        <v>655</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I1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2" style="0" width="30"/>
    <col collapsed="false" customWidth="true" hidden="false" outlineLevel="0" max="4" min="3" style="0" width="14"/>
    <col collapsed="false" customWidth="true" hidden="false" outlineLevel="0" max="5" min="5" style="0" width="36"/>
  </cols>
  <sheetData>
    <row r="2" customFormat="false" ht="24" hidden="false" customHeight="true" outlineLevel="0" collapsed="false">
      <c r="E2" s="11" t="s">
        <v>656</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657</v>
      </c>
    </row>
    <row r="6" customFormat="false" ht="15" hidden="false" customHeight="false" outlineLevel="0" collapsed="false">
      <c r="B6" s="15" t="s">
        <v>658</v>
      </c>
    </row>
    <row r="7" customFormat="false" ht="15" hidden="false" customHeight="false" outlineLevel="0" collapsed="false">
      <c r="B7" s="62" t="s">
        <v>659</v>
      </c>
      <c r="C7" s="63" t="s">
        <v>660</v>
      </c>
      <c r="D7" s="62" t="s">
        <v>661</v>
      </c>
      <c r="E7" s="63" t="s">
        <v>662</v>
      </c>
      <c r="F7" s="62" t="s">
        <v>432</v>
      </c>
      <c r="G7" s="63" t="s">
        <v>433</v>
      </c>
      <c r="H7" s="62" t="s">
        <v>663</v>
      </c>
      <c r="I7" s="63" t="s">
        <v>664</v>
      </c>
    </row>
    <row r="8" customFormat="false" ht="19.5" hidden="false" customHeight="true" outlineLevel="0" collapsed="false">
      <c r="B8" s="41" t="s">
        <v>610</v>
      </c>
      <c r="C8" s="41" t="s">
        <v>218</v>
      </c>
      <c r="D8" s="41" t="s">
        <v>219</v>
      </c>
      <c r="E8" s="41" t="s">
        <v>416</v>
      </c>
    </row>
    <row r="9" customFormat="false" ht="15" hidden="false" customHeight="false" outlineLevel="0" collapsed="false">
      <c r="B9" s="42" t="s">
        <v>665</v>
      </c>
      <c r="C9" s="64" t="n">
        <v>250</v>
      </c>
      <c r="D9" s="42" t="s">
        <v>83</v>
      </c>
      <c r="E9" s="72" t="s">
        <v>666</v>
      </c>
    </row>
    <row r="10" customFormat="false" ht="15" hidden="false" customHeight="false" outlineLevel="0" collapsed="false">
      <c r="B10" s="42" t="s">
        <v>667</v>
      </c>
      <c r="C10" s="64" t="n">
        <v>150</v>
      </c>
      <c r="D10" s="42" t="s">
        <v>83</v>
      </c>
      <c r="E10" s="72" t="s">
        <v>284</v>
      </c>
    </row>
    <row r="11" customFormat="false" ht="15" hidden="false" customHeight="false" outlineLevel="0" collapsed="false">
      <c r="B11" s="42" t="s">
        <v>668</v>
      </c>
      <c r="C11" s="42" t="s">
        <v>669</v>
      </c>
      <c r="D11" s="42" t="s">
        <v>83</v>
      </c>
      <c r="E11" s="72" t="s">
        <v>670</v>
      </c>
    </row>
    <row r="12" customFormat="false" ht="15" hidden="false" customHeight="false" outlineLevel="0" collapsed="false">
      <c r="B12" s="42" t="s">
        <v>671</v>
      </c>
      <c r="C12" s="42" t="s">
        <v>433</v>
      </c>
      <c r="D12" s="42" t="s">
        <v>672</v>
      </c>
      <c r="E12" s="72" t="s">
        <v>673</v>
      </c>
    </row>
    <row r="13" customFormat="false" ht="15" hidden="false" customHeight="false" outlineLevel="0" collapsed="false">
      <c r="B13" s="42" t="s">
        <v>674</v>
      </c>
      <c r="C13" s="42" t="s">
        <v>675</v>
      </c>
      <c r="D13" s="42" t="s">
        <v>676</v>
      </c>
      <c r="E13" s="72" t="s">
        <v>677</v>
      </c>
    </row>
    <row r="14" customFormat="false" ht="15" hidden="false" customHeight="false" outlineLevel="0" collapsed="false">
      <c r="B14" s="42" t="s">
        <v>678</v>
      </c>
      <c r="C14" s="64" t="n">
        <v>55000</v>
      </c>
      <c r="D14" s="42" t="s">
        <v>679</v>
      </c>
      <c r="E14" s="72" t="s">
        <v>680</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I26"/>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1" ySplit="8" topLeftCell="B9" activePane="bottomRight" state="frozen"/>
      <selection pane="topLeft" activeCell="A1" activeCellId="0" sqref="A1"/>
      <selection pane="topRight" activeCell="B1" activeCellId="0" sqref="B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2" min="2" style="0" width="36"/>
    <col collapsed="false" customWidth="true" hidden="false" outlineLevel="0" max="3" min="3" style="0" width="12"/>
    <col collapsed="false" customWidth="true" hidden="false" outlineLevel="0" max="4" min="4" style="0" width="15"/>
    <col collapsed="false" customWidth="true" hidden="false" outlineLevel="0" max="5" min="5" style="0" width="40"/>
  </cols>
  <sheetData>
    <row r="2" customFormat="false" ht="24" hidden="false" customHeight="true" outlineLevel="0" collapsed="false">
      <c r="E2" s="11" t="s">
        <v>681</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682</v>
      </c>
    </row>
    <row r="6" customFormat="false" ht="15" hidden="false" customHeight="false" outlineLevel="0" collapsed="false">
      <c r="B6" s="15" t="s">
        <v>683</v>
      </c>
    </row>
    <row r="7" customFormat="false" ht="15" hidden="false" customHeight="false" outlineLevel="0" collapsed="false">
      <c r="B7" s="62" t="s">
        <v>663</v>
      </c>
      <c r="C7" s="63" t="s">
        <v>684</v>
      </c>
      <c r="D7" s="62" t="s">
        <v>685</v>
      </c>
      <c r="E7" s="63" t="s">
        <v>686</v>
      </c>
      <c r="F7" s="62" t="s">
        <v>687</v>
      </c>
      <c r="G7" s="63" t="s">
        <v>688</v>
      </c>
      <c r="H7" s="62" t="s">
        <v>689</v>
      </c>
      <c r="I7" s="63" t="s">
        <v>690</v>
      </c>
    </row>
    <row r="8" customFormat="false" ht="19.5" hidden="false" customHeight="true" outlineLevel="0" collapsed="false">
      <c r="B8" s="41" t="s">
        <v>691</v>
      </c>
      <c r="C8" s="41" t="s">
        <v>83</v>
      </c>
      <c r="D8" s="41" t="s">
        <v>692</v>
      </c>
      <c r="E8" s="41" t="s">
        <v>693</v>
      </c>
    </row>
    <row r="9" customFormat="false" ht="15" hidden="false" customHeight="false" outlineLevel="0" collapsed="false">
      <c r="B9" s="42" t="s">
        <v>694</v>
      </c>
      <c r="C9" s="64" t="n">
        <v>45000</v>
      </c>
      <c r="D9" s="42" t="s">
        <v>695</v>
      </c>
      <c r="E9" s="72" t="s">
        <v>268</v>
      </c>
    </row>
    <row r="10" customFormat="false" ht="15" hidden="false" customHeight="false" outlineLevel="0" collapsed="false">
      <c r="B10" s="42" t="s">
        <v>696</v>
      </c>
      <c r="C10" s="64" t="n">
        <v>55000</v>
      </c>
      <c r="D10" s="42" t="s">
        <v>697</v>
      </c>
      <c r="E10" s="72" t="s">
        <v>698</v>
      </c>
    </row>
    <row r="11" customFormat="false" ht="15" hidden="false" customHeight="false" outlineLevel="0" collapsed="false">
      <c r="B11" s="42" t="s">
        <v>699</v>
      </c>
      <c r="C11" s="64" t="n">
        <v>15000</v>
      </c>
      <c r="D11" s="42" t="s">
        <v>700</v>
      </c>
      <c r="E11" s="72" t="s">
        <v>268</v>
      </c>
    </row>
    <row r="12" customFormat="false" ht="15" hidden="false" customHeight="false" outlineLevel="0" collapsed="false">
      <c r="B12" s="42" t="s">
        <v>701</v>
      </c>
      <c r="C12" s="64" t="n">
        <v>12000</v>
      </c>
      <c r="D12" s="42" t="s">
        <v>697</v>
      </c>
      <c r="E12" s="72" t="s">
        <v>520</v>
      </c>
    </row>
    <row r="13" customFormat="false" ht="15" hidden="false" customHeight="false" outlineLevel="0" collapsed="false">
      <c r="B13" s="42" t="s">
        <v>702</v>
      </c>
      <c r="C13" s="64" t="n">
        <v>8000</v>
      </c>
      <c r="D13" s="42" t="s">
        <v>695</v>
      </c>
      <c r="E13" s="72" t="s">
        <v>268</v>
      </c>
    </row>
    <row r="14" customFormat="false" ht="15" hidden="false" customHeight="false" outlineLevel="0" collapsed="false">
      <c r="B14" s="42" t="s">
        <v>703</v>
      </c>
      <c r="C14" s="64" t="n">
        <v>7000</v>
      </c>
      <c r="D14" s="42" t="s">
        <v>695</v>
      </c>
      <c r="E14" s="72" t="s">
        <v>704</v>
      </c>
    </row>
    <row r="15" customFormat="false" ht="15" hidden="false" customHeight="false" outlineLevel="0" collapsed="false">
      <c r="B15" s="42" t="s">
        <v>705</v>
      </c>
      <c r="C15" s="64" t="n">
        <v>6500</v>
      </c>
      <c r="D15" s="42" t="s">
        <v>695</v>
      </c>
      <c r="E15" s="72" t="s">
        <v>706</v>
      </c>
    </row>
    <row r="16" customFormat="false" ht="15" hidden="false" customHeight="false" outlineLevel="0" collapsed="false">
      <c r="B16" s="42" t="s">
        <v>707</v>
      </c>
      <c r="C16" s="64" t="n">
        <v>6000</v>
      </c>
      <c r="D16" s="42" t="s">
        <v>695</v>
      </c>
      <c r="E16" s="72" t="s">
        <v>704</v>
      </c>
    </row>
    <row r="17" customFormat="false" ht="15" hidden="false" customHeight="false" outlineLevel="0" collapsed="false">
      <c r="B17" s="42" t="s">
        <v>708</v>
      </c>
      <c r="C17" s="64" t="n">
        <v>6000</v>
      </c>
      <c r="D17" s="42" t="s">
        <v>697</v>
      </c>
      <c r="E17" s="72" t="s">
        <v>244</v>
      </c>
    </row>
    <row r="18" customFormat="false" ht="15" hidden="false" customHeight="false" outlineLevel="0" collapsed="false">
      <c r="B18" s="42" t="s">
        <v>709</v>
      </c>
      <c r="C18" s="64" t="n">
        <v>5000</v>
      </c>
      <c r="D18" s="42" t="s">
        <v>697</v>
      </c>
      <c r="E18" s="72" t="s">
        <v>244</v>
      </c>
    </row>
    <row r="19" customFormat="false" ht="15" hidden="false" customHeight="false" outlineLevel="0" collapsed="false">
      <c r="B19" s="42" t="s">
        <v>710</v>
      </c>
      <c r="C19" s="64" t="n">
        <v>4500</v>
      </c>
      <c r="D19" s="42" t="s">
        <v>695</v>
      </c>
      <c r="E19" s="72" t="s">
        <v>704</v>
      </c>
    </row>
    <row r="20" customFormat="false" ht="15" hidden="false" customHeight="false" outlineLevel="0" collapsed="false">
      <c r="B20" s="42" t="s">
        <v>711</v>
      </c>
      <c r="C20" s="64" t="n">
        <v>4000</v>
      </c>
      <c r="D20" s="42" t="s">
        <v>700</v>
      </c>
      <c r="E20" s="72" t="s">
        <v>244</v>
      </c>
    </row>
    <row r="21" customFormat="false" ht="15" hidden="false" customHeight="false" outlineLevel="0" collapsed="false">
      <c r="B21" s="42" t="s">
        <v>712</v>
      </c>
      <c r="C21" s="64" t="n">
        <v>3000</v>
      </c>
      <c r="D21" s="42" t="s">
        <v>695</v>
      </c>
      <c r="E21" s="72" t="s">
        <v>704</v>
      </c>
    </row>
    <row r="22" customFormat="false" ht="15" hidden="false" customHeight="false" outlineLevel="0" collapsed="false">
      <c r="B22" s="42" t="s">
        <v>713</v>
      </c>
      <c r="C22" s="64" t="n">
        <v>3000</v>
      </c>
      <c r="D22" s="42" t="s">
        <v>695</v>
      </c>
      <c r="E22" s="72" t="s">
        <v>268</v>
      </c>
    </row>
    <row r="23" customFormat="false" ht="15" hidden="false" customHeight="false" outlineLevel="0" collapsed="false">
      <c r="B23" s="76" t="s">
        <v>714</v>
      </c>
      <c r="C23" s="68" t="n">
        <f aca="false">SUM(C9:C22)</f>
        <v>180000</v>
      </c>
    </row>
    <row r="25" customFormat="false" ht="15" hidden="false" customHeight="true" outlineLevel="0" collapsed="false">
      <c r="B25" s="34" t="s">
        <v>715</v>
      </c>
      <c r="C25" s="34"/>
      <c r="D25" s="34"/>
      <c r="E25" s="34"/>
    </row>
    <row r="26" customFormat="false" ht="15" hidden="false" customHeight="false" outlineLevel="0" collapsed="false">
      <c r="B26" s="34"/>
      <c r="C26" s="34"/>
      <c r="D26" s="34"/>
      <c r="E26" s="34"/>
    </row>
  </sheetData>
  <mergeCells count="1">
    <mergeCell ref="B25:E26"/>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I21"/>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1" ySplit="8" topLeftCell="B9" activePane="bottomRight" state="frozen"/>
      <selection pane="topLeft" activeCell="A1" activeCellId="0" sqref="A1"/>
      <selection pane="topRight" activeCell="B1" activeCellId="0" sqref="B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2" min="2" style="0" width="40"/>
    <col collapsed="false" customWidth="true" hidden="false" outlineLevel="0" max="4" min="3" style="0" width="10"/>
    <col collapsed="false" customWidth="true" hidden="false" outlineLevel="0" max="5" min="5" style="0" width="24"/>
    <col collapsed="false" customWidth="true" hidden="false" outlineLevel="0" max="6" min="6" style="0" width="18"/>
    <col collapsed="false" customWidth="true" hidden="false" outlineLevel="0" max="7" min="7" style="0" width="20"/>
  </cols>
  <sheetData>
    <row r="2" customFormat="false" ht="24" hidden="false" customHeight="true" outlineLevel="0" collapsed="false">
      <c r="E2" s="11" t="s">
        <v>716</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717</v>
      </c>
    </row>
    <row r="6" customFormat="false" ht="15" hidden="false" customHeight="false" outlineLevel="0" collapsed="false">
      <c r="B6" s="15" t="s">
        <v>718</v>
      </c>
    </row>
    <row r="7" customFormat="false" ht="15" hidden="false" customHeight="false" outlineLevel="0" collapsed="false">
      <c r="B7" s="62" t="s">
        <v>719</v>
      </c>
      <c r="C7" s="63" t="s">
        <v>720</v>
      </c>
      <c r="D7" s="62" t="s">
        <v>721</v>
      </c>
      <c r="E7" s="63" t="s">
        <v>722</v>
      </c>
      <c r="F7" s="62" t="s">
        <v>723</v>
      </c>
      <c r="G7" s="63" t="s">
        <v>724</v>
      </c>
      <c r="H7" s="62" t="s">
        <v>590</v>
      </c>
      <c r="I7" s="63" t="s">
        <v>725</v>
      </c>
    </row>
    <row r="8" customFormat="false" ht="19.5" hidden="false" customHeight="true" outlineLevel="0" collapsed="false">
      <c r="B8" s="41" t="s">
        <v>726</v>
      </c>
      <c r="C8" s="41" t="s">
        <v>252</v>
      </c>
      <c r="D8" s="41" t="s">
        <v>461</v>
      </c>
      <c r="E8" s="41" t="s">
        <v>727</v>
      </c>
      <c r="F8" s="41" t="s">
        <v>728</v>
      </c>
      <c r="G8" s="41" t="s">
        <v>222</v>
      </c>
    </row>
    <row r="9" customFormat="false" ht="23.85" hidden="false" customHeight="false" outlineLevel="0" collapsed="false">
      <c r="B9" s="47" t="s">
        <v>729</v>
      </c>
      <c r="C9" s="77" t="n">
        <v>0</v>
      </c>
      <c r="D9" s="49" t="s">
        <v>208</v>
      </c>
      <c r="E9" s="49" t="s">
        <v>730</v>
      </c>
      <c r="F9" s="49" t="s">
        <v>731</v>
      </c>
      <c r="G9" s="49" t="s">
        <v>268</v>
      </c>
    </row>
    <row r="10" customFormat="false" ht="23.85" hidden="false" customHeight="false" outlineLevel="0" collapsed="false">
      <c r="B10" s="47" t="s">
        <v>732</v>
      </c>
      <c r="C10" s="77" t="n">
        <v>0</v>
      </c>
      <c r="D10" s="49" t="s">
        <v>208</v>
      </c>
      <c r="E10" s="49" t="s">
        <v>733</v>
      </c>
      <c r="F10" s="49" t="s">
        <v>734</v>
      </c>
      <c r="G10" s="49" t="s">
        <v>268</v>
      </c>
    </row>
    <row r="11" customFormat="false" ht="15" hidden="false" customHeight="false" outlineLevel="0" collapsed="false">
      <c r="B11" s="47" t="s">
        <v>735</v>
      </c>
      <c r="C11" s="77" t="n">
        <v>45</v>
      </c>
      <c r="D11" s="49" t="s">
        <v>736</v>
      </c>
      <c r="E11" s="49" t="s">
        <v>737</v>
      </c>
      <c r="F11" s="49" t="s">
        <v>738</v>
      </c>
      <c r="G11" s="49" t="s">
        <v>739</v>
      </c>
    </row>
    <row r="12" customFormat="false" ht="15" hidden="false" customHeight="false" outlineLevel="0" collapsed="false">
      <c r="B12" s="47" t="s">
        <v>740</v>
      </c>
      <c r="C12" s="77" t="n">
        <v>45</v>
      </c>
      <c r="D12" s="49" t="s">
        <v>741</v>
      </c>
      <c r="E12" s="49" t="s">
        <v>737</v>
      </c>
      <c r="F12" s="49" t="s">
        <v>738</v>
      </c>
      <c r="G12" s="49" t="s">
        <v>244</v>
      </c>
    </row>
    <row r="13" customFormat="false" ht="15" hidden="false" customHeight="false" outlineLevel="0" collapsed="false">
      <c r="B13" s="47" t="s">
        <v>742</v>
      </c>
      <c r="C13" s="77" t="n">
        <v>85</v>
      </c>
      <c r="D13" s="49" t="s">
        <v>743</v>
      </c>
      <c r="E13" s="49" t="s">
        <v>744</v>
      </c>
      <c r="F13" s="49" t="s">
        <v>738</v>
      </c>
      <c r="G13" s="49" t="s">
        <v>244</v>
      </c>
    </row>
    <row r="14" customFormat="false" ht="15" hidden="false" customHeight="false" outlineLevel="0" collapsed="false">
      <c r="B14" s="47" t="s">
        <v>745</v>
      </c>
      <c r="C14" s="77" t="n">
        <v>50</v>
      </c>
      <c r="D14" s="49" t="s">
        <v>743</v>
      </c>
      <c r="E14" s="49" t="s">
        <v>746</v>
      </c>
      <c r="F14" s="49" t="s">
        <v>738</v>
      </c>
      <c r="G14" s="49" t="s">
        <v>244</v>
      </c>
    </row>
    <row r="15" customFormat="false" ht="15" hidden="false" customHeight="false" outlineLevel="0" collapsed="false">
      <c r="B15" s="47" t="s">
        <v>747</v>
      </c>
      <c r="C15" s="77" t="n">
        <v>140</v>
      </c>
      <c r="D15" s="49" t="s">
        <v>90</v>
      </c>
      <c r="E15" s="49" t="s">
        <v>748</v>
      </c>
      <c r="F15" s="49" t="s">
        <v>601</v>
      </c>
      <c r="G15" s="49" t="s">
        <v>244</v>
      </c>
    </row>
    <row r="16" customFormat="false" ht="15" hidden="false" customHeight="false" outlineLevel="0" collapsed="false">
      <c r="B16" s="47" t="s">
        <v>749</v>
      </c>
      <c r="C16" s="77" t="n">
        <v>55</v>
      </c>
      <c r="D16" s="49" t="s">
        <v>743</v>
      </c>
      <c r="E16" s="49" t="s">
        <v>750</v>
      </c>
      <c r="F16" s="49" t="s">
        <v>601</v>
      </c>
      <c r="G16" s="49" t="s">
        <v>244</v>
      </c>
    </row>
    <row r="17" customFormat="false" ht="15" hidden="false" customHeight="false" outlineLevel="0" collapsed="false">
      <c r="B17" s="47" t="s">
        <v>751</v>
      </c>
      <c r="C17" s="77" t="n">
        <v>900</v>
      </c>
      <c r="D17" s="49" t="s">
        <v>752</v>
      </c>
      <c r="E17" s="49" t="s">
        <v>753</v>
      </c>
      <c r="F17" s="49" t="s">
        <v>601</v>
      </c>
      <c r="G17" s="49" t="s">
        <v>268</v>
      </c>
    </row>
    <row r="18" customFormat="false" ht="15" hidden="false" customHeight="false" outlineLevel="0" collapsed="false">
      <c r="B18" s="47" t="s">
        <v>754</v>
      </c>
      <c r="C18" s="77" t="n">
        <v>240</v>
      </c>
      <c r="D18" s="49" t="s">
        <v>755</v>
      </c>
      <c r="E18" s="49" t="s">
        <v>737</v>
      </c>
      <c r="F18" s="49" t="s">
        <v>756</v>
      </c>
      <c r="G18" s="49" t="s">
        <v>268</v>
      </c>
    </row>
    <row r="19" customFormat="false" ht="15" hidden="false" customHeight="false" outlineLevel="0" collapsed="false">
      <c r="B19" s="47" t="s">
        <v>757</v>
      </c>
      <c r="C19" s="77" t="n">
        <v>160</v>
      </c>
      <c r="D19" s="49" t="s">
        <v>758</v>
      </c>
      <c r="E19" s="49" t="s">
        <v>737</v>
      </c>
      <c r="F19" s="49" t="s">
        <v>756</v>
      </c>
      <c r="G19" s="49" t="s">
        <v>268</v>
      </c>
    </row>
    <row r="20" customFormat="false" ht="15" hidden="false" customHeight="false" outlineLevel="0" collapsed="false">
      <c r="B20" s="47" t="s">
        <v>759</v>
      </c>
      <c r="C20" s="77" t="n">
        <v>280</v>
      </c>
      <c r="D20" s="49" t="s">
        <v>208</v>
      </c>
      <c r="E20" s="49" t="s">
        <v>730</v>
      </c>
      <c r="F20" s="49" t="s">
        <v>760</v>
      </c>
      <c r="G20" s="49" t="s">
        <v>268</v>
      </c>
    </row>
    <row r="21" customFormat="false" ht="15" hidden="false" customHeight="false" outlineLevel="0" collapsed="false">
      <c r="B21" s="76" t="s">
        <v>761</v>
      </c>
      <c r="C21" s="68" t="n">
        <f aca="false">SUM(C9:C20)</f>
        <v>2000</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FB0C0"/>
    <pageSetUpPr fitToPage="false"/>
  </sheetPr>
  <dimension ref="B2:H25"/>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2" min="2" style="0" width="44"/>
    <col collapsed="false" customWidth="true" hidden="false" outlineLevel="0" max="3" min="3" style="0" width="12"/>
    <col collapsed="false" customWidth="true" hidden="false" outlineLevel="0" max="4" min="4" style="0" width="42"/>
  </cols>
  <sheetData>
    <row r="2" customFormat="false" ht="24" hidden="false" customHeight="true" outlineLevel="0" collapsed="false">
      <c r="E2" s="11" t="s">
        <v>762</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763</v>
      </c>
    </row>
    <row r="6" customFormat="false" ht="15" hidden="false" customHeight="false" outlineLevel="0" collapsed="false">
      <c r="B6" s="15" t="s">
        <v>764</v>
      </c>
    </row>
    <row r="8" customFormat="false" ht="19.5" hidden="false" customHeight="true" outlineLevel="0" collapsed="false">
      <c r="B8" s="41" t="s">
        <v>765</v>
      </c>
      <c r="C8" s="41" t="s">
        <v>252</v>
      </c>
      <c r="D8" s="41" t="s">
        <v>538</v>
      </c>
    </row>
    <row r="9" customFormat="false" ht="15" hidden="false" customHeight="false" outlineLevel="0" collapsed="false">
      <c r="B9" s="42" t="s">
        <v>766</v>
      </c>
      <c r="C9" s="64" t="n">
        <v>45</v>
      </c>
      <c r="D9" s="72"/>
    </row>
    <row r="10" customFormat="false" ht="15" hidden="false" customHeight="false" outlineLevel="0" collapsed="false">
      <c r="B10" s="42" t="s">
        <v>767</v>
      </c>
      <c r="C10" s="64" t="n">
        <v>45</v>
      </c>
      <c r="D10" s="72"/>
    </row>
    <row r="11" customFormat="false" ht="15" hidden="false" customHeight="false" outlineLevel="0" collapsed="false">
      <c r="B11" s="42" t="s">
        <v>768</v>
      </c>
      <c r="C11" s="64" t="n">
        <v>85</v>
      </c>
      <c r="D11" s="72"/>
    </row>
    <row r="12" customFormat="false" ht="15" hidden="false" customHeight="false" outlineLevel="0" collapsed="false">
      <c r="B12" s="42" t="s">
        <v>769</v>
      </c>
      <c r="C12" s="64" t="n">
        <v>140</v>
      </c>
      <c r="D12" s="72"/>
    </row>
    <row r="13" customFormat="false" ht="15" hidden="false" customHeight="false" outlineLevel="0" collapsed="false">
      <c r="B13" s="42" t="s">
        <v>770</v>
      </c>
      <c r="C13" s="64" t="n">
        <v>55</v>
      </c>
      <c r="D13" s="72"/>
    </row>
    <row r="14" customFormat="false" ht="15" hidden="false" customHeight="false" outlineLevel="0" collapsed="false">
      <c r="B14" s="42" t="s">
        <v>771</v>
      </c>
      <c r="C14" s="64" t="n">
        <v>20</v>
      </c>
      <c r="D14" s="72"/>
    </row>
    <row r="15" customFormat="false" ht="15" hidden="false" customHeight="false" outlineLevel="0" collapsed="false">
      <c r="B15" s="42" t="s">
        <v>772</v>
      </c>
      <c r="C15" s="64" t="n">
        <v>30</v>
      </c>
      <c r="D15" s="72"/>
    </row>
    <row r="16" customFormat="false" ht="15" hidden="false" customHeight="false" outlineLevel="0" collapsed="false">
      <c r="B16" s="42" t="s">
        <v>773</v>
      </c>
      <c r="C16" s="64" t="n">
        <v>180</v>
      </c>
      <c r="D16" s="72"/>
    </row>
    <row r="17" customFormat="false" ht="15" hidden="false" customHeight="false" outlineLevel="0" collapsed="false">
      <c r="B17" s="42" t="s">
        <v>774</v>
      </c>
      <c r="C17" s="64" t="n">
        <v>60</v>
      </c>
      <c r="D17" s="72"/>
    </row>
    <row r="18" customFormat="false" ht="15" hidden="false" customHeight="false" outlineLevel="0" collapsed="false">
      <c r="B18" s="42" t="s">
        <v>775</v>
      </c>
      <c r="C18" s="64" t="n">
        <v>160</v>
      </c>
      <c r="D18" s="72"/>
    </row>
    <row r="19" customFormat="false" ht="15" hidden="false" customHeight="false" outlineLevel="0" collapsed="false">
      <c r="B19" s="42" t="s">
        <v>776</v>
      </c>
      <c r="C19" s="64" t="n">
        <v>900</v>
      </c>
      <c r="D19" s="72" t="s">
        <v>777</v>
      </c>
    </row>
    <row r="20" customFormat="false" ht="15" hidden="false" customHeight="false" outlineLevel="0" collapsed="false">
      <c r="B20" s="42" t="s">
        <v>778</v>
      </c>
      <c r="C20" s="64" t="n">
        <v>280</v>
      </c>
      <c r="D20" s="72" t="s">
        <v>779</v>
      </c>
    </row>
    <row r="21" customFormat="false" ht="15" hidden="false" customHeight="false" outlineLevel="0" collapsed="false">
      <c r="B21" s="42" t="s">
        <v>780</v>
      </c>
      <c r="C21" s="64" t="n">
        <v>0</v>
      </c>
      <c r="D21" s="72" t="s">
        <v>781</v>
      </c>
    </row>
    <row r="22" customFormat="false" ht="15" hidden="false" customHeight="false" outlineLevel="0" collapsed="false">
      <c r="B22" s="76" t="s">
        <v>782</v>
      </c>
      <c r="C22" s="68" t="n">
        <f aca="false">SUM(C9:C21)</f>
        <v>2000</v>
      </c>
    </row>
    <row r="24" customFormat="false" ht="15" hidden="false" customHeight="false" outlineLevel="0" collapsed="false">
      <c r="B24" s="76" t="s">
        <v>783</v>
      </c>
      <c r="C24" s="78" t="n">
        <v>2000</v>
      </c>
    </row>
    <row r="25" customFormat="false" ht="15" hidden="false" customHeight="false" outlineLevel="0" collapsed="false">
      <c r="B25" s="15" t="s">
        <v>784</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52435"/>
    <pageSetUpPr fitToPage="false"/>
  </sheetPr>
  <dimension ref="B2:K50"/>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2" ySplit="8" topLeftCell="C9" activePane="bottomRight" state="frozen"/>
      <selection pane="topLeft" activeCell="A1" activeCellId="0" sqref="A1"/>
      <selection pane="topRight" activeCell="C1" activeCellId="0" sqref="C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2" min="2" style="0" width="9"/>
    <col collapsed="false" customWidth="true" hidden="false" outlineLevel="0" max="3" min="3" style="0" width="13"/>
    <col collapsed="false" customWidth="true" hidden="false" outlineLevel="0" max="4" min="4" style="0" width="12"/>
    <col collapsed="false" customWidth="true" hidden="false" outlineLevel="0" max="5" min="5" style="0" width="13"/>
    <col collapsed="false" customWidth="true" hidden="false" outlineLevel="0" max="6" min="6" style="0" width="9"/>
    <col collapsed="false" customWidth="true" hidden="false" outlineLevel="0" max="7" min="7" style="0" width="13"/>
    <col collapsed="false" customWidth="true" hidden="false" outlineLevel="0" max="8" min="8" style="0" width="12"/>
    <col collapsed="false" customWidth="true" hidden="false" outlineLevel="0" max="9" min="9" style="0" width="13"/>
    <col collapsed="false" customWidth="true" hidden="false" outlineLevel="0" max="10" min="10" style="0" width="10"/>
    <col collapsed="false" customWidth="true" hidden="false" outlineLevel="0" max="11" min="11" style="0" width="13"/>
  </cols>
  <sheetData>
    <row r="2" customFormat="false" ht="24" hidden="false" customHeight="true" outlineLevel="0" collapsed="false">
      <c r="E2" s="11" t="s">
        <v>785</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786</v>
      </c>
    </row>
    <row r="6" customFormat="false" ht="15" hidden="false" customHeight="false" outlineLevel="0" collapsed="false">
      <c r="B6" s="15" t="s">
        <v>787</v>
      </c>
    </row>
    <row r="8" customFormat="false" ht="19.5" hidden="false" customHeight="true" outlineLevel="0" collapsed="false">
      <c r="B8" s="41" t="s">
        <v>461</v>
      </c>
      <c r="C8" s="41" t="s">
        <v>788</v>
      </c>
      <c r="D8" s="41" t="s">
        <v>402</v>
      </c>
      <c r="E8" s="41" t="s">
        <v>405</v>
      </c>
      <c r="F8" s="41" t="s">
        <v>406</v>
      </c>
      <c r="G8" s="41" t="s">
        <v>407</v>
      </c>
      <c r="H8" s="41" t="s">
        <v>789</v>
      </c>
      <c r="I8" s="41" t="s">
        <v>790</v>
      </c>
      <c r="J8" s="41" t="s">
        <v>791</v>
      </c>
      <c r="K8" s="41" t="s">
        <v>792</v>
      </c>
    </row>
    <row r="9" customFormat="false" ht="15" hidden="false" customHeight="false" outlineLevel="0" collapsed="false">
      <c r="B9" s="39" t="s">
        <v>90</v>
      </c>
      <c r="C9" s="79" t="n">
        <f aca="false">13_Revenue_Build!C9</f>
        <v>0</v>
      </c>
      <c r="D9" s="79" t="n">
        <f aca="false">13_Revenue_Build!D9</f>
        <v>0</v>
      </c>
      <c r="E9" s="27" t="n">
        <f aca="false">C9-D9</f>
        <v>0</v>
      </c>
      <c r="F9" s="61" t="n">
        <f aca="false">IF(C9=0,0,E9/C9)</f>
        <v>0</v>
      </c>
      <c r="G9" s="27" t="n">
        <v>0</v>
      </c>
      <c r="H9" s="27" t="n">
        <v>253000</v>
      </c>
      <c r="I9" s="27" t="n">
        <v>-253000</v>
      </c>
      <c r="J9" s="27" t="n">
        <v>0</v>
      </c>
      <c r="K9" s="27" t="n">
        <f aca="false">I9-J9</f>
        <v>-253000</v>
      </c>
    </row>
    <row r="10" customFormat="false" ht="15" hidden="false" customHeight="false" outlineLevel="0" collapsed="false">
      <c r="B10" s="39" t="s">
        <v>91</v>
      </c>
      <c r="C10" s="79" t="n">
        <f aca="false">13_Revenue_Build!C10</f>
        <v>0</v>
      </c>
      <c r="D10" s="79" t="n">
        <f aca="false">13_Revenue_Build!D10</f>
        <v>0</v>
      </c>
      <c r="E10" s="27" t="n">
        <f aca="false">C10-D10</f>
        <v>0</v>
      </c>
      <c r="F10" s="61" t="n">
        <f aca="false">IF(C10=0,0,E10/C10)</f>
        <v>0</v>
      </c>
      <c r="G10" s="27" t="n">
        <v>0</v>
      </c>
      <c r="H10" s="27" t="n">
        <v>118000</v>
      </c>
      <c r="I10" s="27" t="n">
        <v>-118000</v>
      </c>
      <c r="J10" s="27" t="n">
        <v>0</v>
      </c>
      <c r="K10" s="27" t="n">
        <f aca="false">I10-J10</f>
        <v>-118000</v>
      </c>
    </row>
    <row r="11" customFormat="false" ht="15" hidden="false" customHeight="false" outlineLevel="0" collapsed="false">
      <c r="B11" s="39" t="s">
        <v>92</v>
      </c>
      <c r="C11" s="79" t="n">
        <f aca="false">13_Revenue_Build!C11</f>
        <v>0</v>
      </c>
      <c r="D11" s="79" t="n">
        <f aca="false">13_Revenue_Build!D11</f>
        <v>0</v>
      </c>
      <c r="E11" s="27" t="n">
        <f aca="false">C11-D11</f>
        <v>0</v>
      </c>
      <c r="F11" s="61" t="n">
        <f aca="false">IF(C11=0,0,E11/C11)</f>
        <v>0</v>
      </c>
      <c r="G11" s="27" t="n">
        <v>0</v>
      </c>
      <c r="H11" s="27" t="n">
        <v>88000</v>
      </c>
      <c r="I11" s="27" t="n">
        <v>-88000</v>
      </c>
      <c r="J11" s="27" t="n">
        <v>0</v>
      </c>
      <c r="K11" s="27" t="n">
        <f aca="false">I11-J11</f>
        <v>-88000</v>
      </c>
    </row>
    <row r="12" customFormat="false" ht="15" hidden="false" customHeight="false" outlineLevel="0" collapsed="false">
      <c r="B12" s="39" t="s">
        <v>93</v>
      </c>
      <c r="C12" s="79" t="n">
        <f aca="false">13_Revenue_Build!C12</f>
        <v>39613</v>
      </c>
      <c r="D12" s="79" t="n">
        <f aca="false">13_Revenue_Build!D12</f>
        <v>14085</v>
      </c>
      <c r="E12" s="27" t="n">
        <f aca="false">C12-D12</f>
        <v>25528</v>
      </c>
      <c r="F12" s="61" t="n">
        <f aca="false">IF(C12=0,0,E12/C12)</f>
        <v>0.64443490773231</v>
      </c>
      <c r="G12" s="27" t="n">
        <v>18404</v>
      </c>
      <c r="H12" s="27" t="n">
        <v>103000</v>
      </c>
      <c r="I12" s="27" t="n">
        <v>-84596</v>
      </c>
      <c r="J12" s="27" t="n">
        <v>0</v>
      </c>
      <c r="K12" s="27" t="n">
        <f aca="false">I12-J12</f>
        <v>-84596</v>
      </c>
    </row>
    <row r="13" customFormat="false" ht="15" hidden="false" customHeight="false" outlineLevel="0" collapsed="false">
      <c r="B13" s="39" t="s">
        <v>94</v>
      </c>
      <c r="C13" s="79" t="n">
        <f aca="false">13_Revenue_Build!C13</f>
        <v>85114</v>
      </c>
      <c r="D13" s="79" t="n">
        <f aca="false">13_Revenue_Build!D13</f>
        <v>31361</v>
      </c>
      <c r="E13" s="27" t="n">
        <f aca="false">C13-D13</f>
        <v>53753</v>
      </c>
      <c r="F13" s="61" t="n">
        <f aca="false">IF(C13=0,0,E13/C13)</f>
        <v>0.631541227060178</v>
      </c>
      <c r="G13" s="27" t="n">
        <v>39102</v>
      </c>
      <c r="H13" s="27" t="n">
        <v>103000</v>
      </c>
      <c r="I13" s="27" t="n">
        <v>-63898</v>
      </c>
      <c r="J13" s="27" t="n">
        <v>0</v>
      </c>
      <c r="K13" s="27" t="n">
        <f aca="false">I13-J13</f>
        <v>-63898</v>
      </c>
    </row>
    <row r="14" customFormat="false" ht="15" hidden="false" customHeight="false" outlineLevel="0" collapsed="false">
      <c r="B14" s="39" t="s">
        <v>95</v>
      </c>
      <c r="C14" s="79" t="n">
        <f aca="false">13_Revenue_Build!C14</f>
        <v>130977</v>
      </c>
      <c r="D14" s="79" t="n">
        <f aca="false">13_Revenue_Build!D14</f>
        <v>48629</v>
      </c>
      <c r="E14" s="27" t="n">
        <f aca="false">C14-D14</f>
        <v>82348</v>
      </c>
      <c r="F14" s="61" t="n">
        <f aca="false">IF(C14=0,0,E14/C14)</f>
        <v>0.628721073165518</v>
      </c>
      <c r="G14" s="27" t="n">
        <v>60022</v>
      </c>
      <c r="H14" s="27" t="n">
        <v>135000</v>
      </c>
      <c r="I14" s="27" t="n">
        <v>-74978</v>
      </c>
      <c r="J14" s="27" t="n">
        <v>0</v>
      </c>
      <c r="K14" s="27" t="n">
        <f aca="false">I14-J14</f>
        <v>-74978</v>
      </c>
    </row>
    <row r="15" customFormat="false" ht="15" hidden="false" customHeight="false" outlineLevel="0" collapsed="false">
      <c r="B15" s="39" t="s">
        <v>96</v>
      </c>
      <c r="C15" s="79" t="n">
        <f aca="false">13_Revenue_Build!C15</f>
        <v>178052</v>
      </c>
      <c r="D15" s="79" t="n">
        <f aca="false">13_Revenue_Build!D15</f>
        <v>66327</v>
      </c>
      <c r="E15" s="27" t="n">
        <f aca="false">C15-D15</f>
        <v>111725</v>
      </c>
      <c r="F15" s="61" t="n">
        <f aca="false">IF(C15=0,0,E15/C15)</f>
        <v>0.627485229034215</v>
      </c>
      <c r="G15" s="27" t="n">
        <v>81506</v>
      </c>
      <c r="H15" s="27" t="n">
        <v>180000</v>
      </c>
      <c r="I15" s="27" t="n">
        <v>-98494</v>
      </c>
      <c r="J15" s="27" t="n">
        <v>0</v>
      </c>
      <c r="K15" s="27" t="n">
        <f aca="false">I15-J15</f>
        <v>-98494</v>
      </c>
    </row>
    <row r="16" customFormat="false" ht="15" hidden="false" customHeight="false" outlineLevel="0" collapsed="false">
      <c r="B16" s="39" t="s">
        <v>97</v>
      </c>
      <c r="C16" s="79" t="n">
        <f aca="false">13_Revenue_Build!C16</f>
        <v>226562</v>
      </c>
      <c r="D16" s="79" t="n">
        <f aca="false">13_Revenue_Build!D16</f>
        <v>70210</v>
      </c>
      <c r="E16" s="27" t="n">
        <f aca="false">C16-D16</f>
        <v>156352</v>
      </c>
      <c r="F16" s="61" t="n">
        <f aca="false">IF(C16=0,0,E16/C16)</f>
        <v>0.690106902304888</v>
      </c>
      <c r="G16" s="27" t="n">
        <v>117983</v>
      </c>
      <c r="H16" s="27" t="n">
        <v>180000</v>
      </c>
      <c r="I16" s="27" t="n">
        <v>-62017</v>
      </c>
      <c r="J16" s="27" t="n">
        <v>0</v>
      </c>
      <c r="K16" s="27" t="n">
        <f aca="false">I16-J16</f>
        <v>-62017</v>
      </c>
    </row>
    <row r="17" customFormat="false" ht="15" hidden="false" customHeight="false" outlineLevel="0" collapsed="false">
      <c r="B17" s="39" t="s">
        <v>98</v>
      </c>
      <c r="C17" s="79" t="n">
        <f aca="false">13_Revenue_Build!C17</f>
        <v>276741</v>
      </c>
      <c r="D17" s="79" t="n">
        <f aca="false">13_Revenue_Build!D17</f>
        <v>85825</v>
      </c>
      <c r="E17" s="27" t="n">
        <f aca="false">C17-D17</f>
        <v>190916</v>
      </c>
      <c r="F17" s="61" t="n">
        <f aca="false">IF(C17=0,0,E17/C17)</f>
        <v>0.689872480044518</v>
      </c>
      <c r="G17" s="27" t="n">
        <v>144095</v>
      </c>
      <c r="H17" s="27" t="n">
        <v>180000</v>
      </c>
      <c r="I17" s="27" t="n">
        <v>-35905</v>
      </c>
      <c r="J17" s="27" t="n">
        <v>0</v>
      </c>
      <c r="K17" s="27" t="n">
        <f aca="false">I17-J17</f>
        <v>-35905</v>
      </c>
    </row>
    <row r="18" customFormat="false" ht="15" hidden="false" customHeight="false" outlineLevel="0" collapsed="false">
      <c r="B18" s="39" t="s">
        <v>99</v>
      </c>
      <c r="C18" s="79" t="n">
        <f aca="false">13_Revenue_Build!C18</f>
        <v>328833</v>
      </c>
      <c r="D18" s="79" t="n">
        <f aca="false">13_Revenue_Build!D18</f>
        <v>102006</v>
      </c>
      <c r="E18" s="27" t="n">
        <f aca="false">C18-D18</f>
        <v>226827</v>
      </c>
      <c r="F18" s="61" t="n">
        <f aca="false">IF(C18=0,0,E18/C18)</f>
        <v>0.689793907545776</v>
      </c>
      <c r="G18" s="27" t="n">
        <v>171211</v>
      </c>
      <c r="H18" s="27" t="n">
        <v>180000</v>
      </c>
      <c r="I18" s="27" t="n">
        <v>-8789</v>
      </c>
      <c r="J18" s="27" t="n">
        <v>0</v>
      </c>
      <c r="K18" s="27" t="n">
        <f aca="false">I18-J18</f>
        <v>-8789</v>
      </c>
    </row>
    <row r="19" customFormat="false" ht="15" hidden="false" customHeight="false" outlineLevel="0" collapsed="false">
      <c r="B19" s="39" t="s">
        <v>67</v>
      </c>
      <c r="C19" s="79" t="n">
        <f aca="false">13_Revenue_Build!C19</f>
        <v>383095</v>
      </c>
      <c r="D19" s="79" t="n">
        <f aca="false">13_Revenue_Build!D19</f>
        <v>118828</v>
      </c>
      <c r="E19" s="27" t="n">
        <f aca="false">C19-D19</f>
        <v>264267</v>
      </c>
      <c r="F19" s="61" t="n">
        <f aca="false">IF(C19=0,0,E19/C19)</f>
        <v>0.689821062660698</v>
      </c>
      <c r="G19" s="27" t="n">
        <v>199467</v>
      </c>
      <c r="H19" s="27" t="n">
        <v>180000</v>
      </c>
      <c r="I19" s="27" t="n">
        <v>19467</v>
      </c>
      <c r="J19" s="27" t="n">
        <v>0</v>
      </c>
      <c r="K19" s="27" t="n">
        <f aca="false">I19-J19</f>
        <v>19467</v>
      </c>
    </row>
    <row r="20" customFormat="false" ht="15" hidden="false" customHeight="false" outlineLevel="0" collapsed="false">
      <c r="B20" s="39" t="s">
        <v>100</v>
      </c>
      <c r="C20" s="79" t="n">
        <f aca="false">13_Revenue_Build!C20</f>
        <v>439801</v>
      </c>
      <c r="D20" s="79" t="n">
        <f aca="false">13_Revenue_Build!D20</f>
        <v>136371</v>
      </c>
      <c r="E20" s="27" t="n">
        <f aca="false">C20-D20</f>
        <v>303430</v>
      </c>
      <c r="F20" s="61" t="n">
        <f aca="false">IF(C20=0,0,E20/C20)</f>
        <v>0.689925670928443</v>
      </c>
      <c r="G20" s="27" t="n">
        <v>229005</v>
      </c>
      <c r="H20" s="27" t="n">
        <v>180000</v>
      </c>
      <c r="I20" s="27" t="n">
        <v>49005</v>
      </c>
      <c r="J20" s="27" t="n">
        <v>0</v>
      </c>
      <c r="K20" s="27" t="n">
        <f aca="false">I20-J20</f>
        <v>49005</v>
      </c>
    </row>
    <row r="21" customFormat="false" ht="15" hidden="false" customHeight="false" outlineLevel="0" collapsed="false">
      <c r="B21" s="39" t="s">
        <v>72</v>
      </c>
      <c r="C21" s="79" t="n">
        <f aca="false">13_Revenue_Build!C21</f>
        <v>510934</v>
      </c>
      <c r="D21" s="79" t="n">
        <f aca="false">13_Revenue_Build!D21</f>
        <v>161053</v>
      </c>
      <c r="E21" s="27" t="n">
        <f aca="false">C21-D21</f>
        <v>349881</v>
      </c>
      <c r="F21" s="61" t="n">
        <f aca="false">IF(C21=0,0,E21/C21)</f>
        <v>0.684787076217281</v>
      </c>
      <c r="G21" s="27" t="n">
        <v>263548</v>
      </c>
      <c r="H21" s="27" t="n">
        <v>185000</v>
      </c>
      <c r="I21" s="27" t="n">
        <v>78548</v>
      </c>
      <c r="J21" s="27" t="n">
        <v>0</v>
      </c>
      <c r="K21" s="27" t="n">
        <f aca="false">I21-J21</f>
        <v>78548</v>
      </c>
    </row>
    <row r="22" customFormat="false" ht="15" hidden="false" customHeight="false" outlineLevel="0" collapsed="false">
      <c r="B22" s="39" t="s">
        <v>101</v>
      </c>
      <c r="C22" s="79" t="n">
        <f aca="false">13_Revenue_Build!C22</f>
        <v>579045</v>
      </c>
      <c r="D22" s="79" t="n">
        <f aca="false">13_Revenue_Build!D22</f>
        <v>183464</v>
      </c>
      <c r="E22" s="27" t="n">
        <f aca="false">C22-D22</f>
        <v>395581</v>
      </c>
      <c r="F22" s="61" t="n">
        <f aca="false">IF(C22=0,0,E22/C22)</f>
        <v>0.683161066929168</v>
      </c>
      <c r="G22" s="27" t="n">
        <v>297552</v>
      </c>
      <c r="H22" s="27" t="n">
        <v>185000</v>
      </c>
      <c r="I22" s="27" t="n">
        <v>112552</v>
      </c>
      <c r="J22" s="27" t="n">
        <v>0</v>
      </c>
      <c r="K22" s="27" t="n">
        <f aca="false">I22-J22</f>
        <v>112552</v>
      </c>
    </row>
    <row r="23" customFormat="false" ht="15" hidden="false" customHeight="false" outlineLevel="0" collapsed="false">
      <c r="B23" s="39" t="s">
        <v>102</v>
      </c>
      <c r="C23" s="79" t="n">
        <f aca="false">13_Revenue_Build!C23</f>
        <v>650517</v>
      </c>
      <c r="D23" s="79" t="n">
        <f aca="false">13_Revenue_Build!D23</f>
        <v>206867</v>
      </c>
      <c r="E23" s="27" t="n">
        <f aca="false">C23-D23</f>
        <v>443650</v>
      </c>
      <c r="F23" s="61" t="n">
        <f aca="false">IF(C23=0,0,E23/C23)</f>
        <v>0.681996012402443</v>
      </c>
      <c r="G23" s="27" t="n">
        <v>333319</v>
      </c>
      <c r="H23" s="27" t="n">
        <v>187041</v>
      </c>
      <c r="I23" s="27" t="n">
        <v>146278</v>
      </c>
      <c r="J23" s="27" t="n">
        <v>0</v>
      </c>
      <c r="K23" s="27" t="n">
        <f aca="false">I23-J23</f>
        <v>146278</v>
      </c>
    </row>
    <row r="24" customFormat="false" ht="15" hidden="false" customHeight="false" outlineLevel="0" collapsed="false">
      <c r="B24" s="39" t="s">
        <v>103</v>
      </c>
      <c r="C24" s="79" t="n">
        <f aca="false">13_Revenue_Build!C24</f>
        <v>725695</v>
      </c>
      <c r="D24" s="79" t="n">
        <f aca="false">13_Revenue_Build!D24</f>
        <v>231365</v>
      </c>
      <c r="E24" s="27" t="n">
        <f aca="false">C24-D24</f>
        <v>494330</v>
      </c>
      <c r="F24" s="61" t="n">
        <f aca="false">IF(C24=0,0,E24/C24)</f>
        <v>0.681181488090727</v>
      </c>
      <c r="G24" s="27" t="n">
        <v>371032</v>
      </c>
      <c r="H24" s="27" t="n">
        <v>193056</v>
      </c>
      <c r="I24" s="27" t="n">
        <v>177977</v>
      </c>
      <c r="J24" s="27" t="n">
        <v>0</v>
      </c>
      <c r="K24" s="27" t="n">
        <f aca="false">I24-J24</f>
        <v>177977</v>
      </c>
    </row>
    <row r="25" customFormat="false" ht="15" hidden="false" customHeight="false" outlineLevel="0" collapsed="false">
      <c r="B25" s="39" t="s">
        <v>104</v>
      </c>
      <c r="C25" s="79" t="n">
        <f aca="false">13_Revenue_Build!C25</f>
        <v>804949</v>
      </c>
      <c r="D25" s="79" t="n">
        <f aca="false">13_Revenue_Build!D25</f>
        <v>257067</v>
      </c>
      <c r="E25" s="27" t="n">
        <f aca="false">C25-D25</f>
        <v>547882</v>
      </c>
      <c r="F25" s="61" t="n">
        <f aca="false">IF(C25=0,0,E25/C25)</f>
        <v>0.680641879174954</v>
      </c>
      <c r="G25" s="27" t="n">
        <v>410885</v>
      </c>
      <c r="H25" s="27" t="n">
        <v>199396</v>
      </c>
      <c r="I25" s="27" t="n">
        <v>211489</v>
      </c>
      <c r="J25" s="27" t="n">
        <v>0</v>
      </c>
      <c r="K25" s="27" t="n">
        <f aca="false">I25-J25</f>
        <v>211489</v>
      </c>
    </row>
    <row r="26" customFormat="false" ht="15" hidden="false" customHeight="false" outlineLevel="0" collapsed="false">
      <c r="B26" s="39" t="s">
        <v>105</v>
      </c>
      <c r="C26" s="79" t="n">
        <f aca="false">13_Revenue_Build!C26</f>
        <v>888672</v>
      </c>
      <c r="D26" s="79" t="n">
        <f aca="false">13_Revenue_Build!D26</f>
        <v>284088</v>
      </c>
      <c r="E26" s="27" t="n">
        <f aca="false">C26-D26</f>
        <v>604584</v>
      </c>
      <c r="F26" s="61" t="n">
        <f aca="false">IF(C26=0,0,E26/C26)</f>
        <v>0.68032299881171</v>
      </c>
      <c r="G26" s="27" t="n">
        <v>453082</v>
      </c>
      <c r="H26" s="27" t="n">
        <v>231094</v>
      </c>
      <c r="I26" s="27" t="n">
        <v>221989</v>
      </c>
      <c r="J26" s="27" t="n">
        <v>28518</v>
      </c>
      <c r="K26" s="27" t="n">
        <f aca="false">I26-J26</f>
        <v>193471</v>
      </c>
    </row>
    <row r="27" customFormat="false" ht="15" hidden="false" customHeight="false" outlineLevel="0" collapsed="false">
      <c r="B27" s="39" t="s">
        <v>106</v>
      </c>
      <c r="C27" s="79" t="n">
        <f aca="false">13_Revenue_Build!C27</f>
        <v>977285</v>
      </c>
      <c r="D27" s="79" t="n">
        <f aca="false">13_Revenue_Build!D27</f>
        <v>312554</v>
      </c>
      <c r="E27" s="27" t="n">
        <f aca="false">C27-D27</f>
        <v>664731</v>
      </c>
      <c r="F27" s="61" t="n">
        <f aca="false">IF(C27=0,0,E27/C27)</f>
        <v>0.680181318653208</v>
      </c>
      <c r="G27" s="27" t="n">
        <v>497847</v>
      </c>
      <c r="H27" s="27" t="n">
        <v>238183</v>
      </c>
      <c r="I27" s="27" t="n">
        <v>259664</v>
      </c>
      <c r="J27" s="27" t="n">
        <v>57126</v>
      </c>
      <c r="K27" s="27" t="n">
        <f aca="false">I27-J27</f>
        <v>202538</v>
      </c>
    </row>
    <row r="28" customFormat="false" ht="15" hidden="false" customHeight="false" outlineLevel="0" collapsed="false">
      <c r="B28" s="39" t="s">
        <v>107</v>
      </c>
      <c r="C28" s="79" t="n">
        <f aca="false">13_Revenue_Build!C28</f>
        <v>1071241</v>
      </c>
      <c r="D28" s="79" t="n">
        <f aca="false">13_Revenue_Build!D28</f>
        <v>342597</v>
      </c>
      <c r="E28" s="27" t="n">
        <f aca="false">C28-D28</f>
        <v>728644</v>
      </c>
      <c r="F28" s="61" t="n">
        <f aca="false">IF(C28=0,0,E28/C28)</f>
        <v>0.680186811371111</v>
      </c>
      <c r="G28" s="27" t="n">
        <v>545415</v>
      </c>
      <c r="H28" s="27" t="n">
        <v>245699</v>
      </c>
      <c r="I28" s="27" t="n">
        <v>299716</v>
      </c>
      <c r="J28" s="27" t="n">
        <v>65938</v>
      </c>
      <c r="K28" s="27" t="n">
        <f aca="false">I28-J28</f>
        <v>233778</v>
      </c>
    </row>
    <row r="29" customFormat="false" ht="15" hidden="false" customHeight="false" outlineLevel="0" collapsed="false">
      <c r="B29" s="39" t="s">
        <v>108</v>
      </c>
      <c r="C29" s="79" t="n">
        <f aca="false">13_Revenue_Build!C29</f>
        <v>1171021</v>
      </c>
      <c r="D29" s="79" t="n">
        <f aca="false">13_Revenue_Build!D29</f>
        <v>374361</v>
      </c>
      <c r="E29" s="27" t="n">
        <f aca="false">C29-D29</f>
        <v>796660</v>
      </c>
      <c r="F29" s="61" t="n">
        <f aca="false">IF(C29=0,0,E29/C29)</f>
        <v>0.680312308660562</v>
      </c>
      <c r="G29" s="27" t="n">
        <v>596041</v>
      </c>
      <c r="H29" s="27" t="n">
        <v>253682</v>
      </c>
      <c r="I29" s="27" t="n">
        <v>342359</v>
      </c>
      <c r="J29" s="27" t="n">
        <v>75319</v>
      </c>
      <c r="K29" s="27" t="n">
        <f aca="false">I29-J29</f>
        <v>267040</v>
      </c>
    </row>
    <row r="30" customFormat="false" ht="15" hidden="false" customHeight="false" outlineLevel="0" collapsed="false">
      <c r="B30" s="39" t="s">
        <v>109</v>
      </c>
      <c r="C30" s="79" t="n">
        <f aca="false">13_Revenue_Build!C30</f>
        <v>1277146</v>
      </c>
      <c r="D30" s="79" t="n">
        <f aca="false">13_Revenue_Build!D30</f>
        <v>407998</v>
      </c>
      <c r="E30" s="27" t="n">
        <f aca="false">C30-D30</f>
        <v>869148</v>
      </c>
      <c r="F30" s="61" t="n">
        <f aca="false">IF(C30=0,0,E30/C30)</f>
        <v>0.680539264892189</v>
      </c>
      <c r="G30" s="27" t="n">
        <v>649997</v>
      </c>
      <c r="H30" s="27" t="n">
        <v>262172</v>
      </c>
      <c r="I30" s="27" t="n">
        <v>387825</v>
      </c>
      <c r="J30" s="27" t="n">
        <v>85322</v>
      </c>
      <c r="K30" s="27" t="n">
        <f aca="false">I30-J30</f>
        <v>302503</v>
      </c>
    </row>
    <row r="31" customFormat="false" ht="15" hidden="false" customHeight="false" outlineLevel="0" collapsed="false">
      <c r="B31" s="39" t="s">
        <v>110</v>
      </c>
      <c r="C31" s="79" t="n">
        <f aca="false">13_Revenue_Build!C31</f>
        <v>1390173</v>
      </c>
      <c r="D31" s="79" t="n">
        <f aca="false">13_Revenue_Build!D31</f>
        <v>443673</v>
      </c>
      <c r="E31" s="27" t="n">
        <f aca="false">C31-D31</f>
        <v>946500</v>
      </c>
      <c r="F31" s="61" t="n">
        <f aca="false">IF(C31=0,0,E31/C31)</f>
        <v>0.68085051284984</v>
      </c>
      <c r="G31" s="27" t="n">
        <v>707575</v>
      </c>
      <c r="H31" s="27" t="n">
        <v>271214</v>
      </c>
      <c r="I31" s="27" t="n">
        <v>436361</v>
      </c>
      <c r="J31" s="27" t="n">
        <v>95999</v>
      </c>
      <c r="K31" s="27" t="n">
        <f aca="false">I31-J31</f>
        <v>340362</v>
      </c>
    </row>
    <row r="32" customFormat="false" ht="15" hidden="false" customHeight="false" outlineLevel="0" collapsed="false">
      <c r="B32" s="39" t="s">
        <v>111</v>
      </c>
      <c r="C32" s="79" t="n">
        <f aca="false">13_Revenue_Build!C32</f>
        <v>1510701</v>
      </c>
      <c r="D32" s="79" t="n">
        <f aca="false">13_Revenue_Build!D32</f>
        <v>481563</v>
      </c>
      <c r="E32" s="27" t="n">
        <f aca="false">C32-D32</f>
        <v>1029138</v>
      </c>
      <c r="F32" s="61" t="n">
        <f aca="false">IF(C32=0,0,E32/C32)</f>
        <v>0.681232090268028</v>
      </c>
      <c r="G32" s="27" t="n">
        <v>769090</v>
      </c>
      <c r="H32" s="27" t="n">
        <v>280856</v>
      </c>
      <c r="I32" s="27" t="n">
        <v>488234</v>
      </c>
      <c r="J32" s="27" t="n">
        <v>107411</v>
      </c>
      <c r="K32" s="27" t="n">
        <f aca="false">I32-J32</f>
        <v>380823</v>
      </c>
    </row>
    <row r="33" customFormat="false" ht="15" hidden="false" customHeight="false" outlineLevel="0" collapsed="false">
      <c r="B33" s="39" t="s">
        <v>112</v>
      </c>
      <c r="C33" s="79" t="n">
        <f aca="false">13_Revenue_Build!C33</f>
        <v>1649051</v>
      </c>
      <c r="D33" s="79" t="n">
        <f aca="false">13_Revenue_Build!D33</f>
        <v>527136</v>
      </c>
      <c r="E33" s="27" t="n">
        <f aca="false">C33-D33</f>
        <v>1121915</v>
      </c>
      <c r="F33" s="61" t="n">
        <f aca="false">IF(C33=0,0,E33/C33)</f>
        <v>0.680339783305671</v>
      </c>
      <c r="G33" s="27" t="n">
        <v>837741</v>
      </c>
      <c r="H33" s="27" t="n">
        <v>291924</v>
      </c>
      <c r="I33" s="27" t="n">
        <v>545817</v>
      </c>
      <c r="J33" s="27" t="n">
        <v>120080</v>
      </c>
      <c r="K33" s="27" t="n">
        <f aca="false">I33-J33</f>
        <v>425737</v>
      </c>
    </row>
    <row r="34" customFormat="false" ht="15" hidden="false" customHeight="false" outlineLevel="0" collapsed="false">
      <c r="B34" s="39" t="s">
        <v>113</v>
      </c>
      <c r="C34" s="79" t="n">
        <f aca="false">13_Revenue_Build!C34</f>
        <v>1796238</v>
      </c>
      <c r="D34" s="79" t="n">
        <f aca="false">13_Revenue_Build!D34</f>
        <v>575317</v>
      </c>
      <c r="E34" s="27" t="n">
        <f aca="false">C34-D34</f>
        <v>1220921</v>
      </c>
      <c r="F34" s="61" t="n">
        <f aca="false">IF(C34=0,0,E34/C34)</f>
        <v>0.679710038424752</v>
      </c>
      <c r="G34" s="27" t="n">
        <v>911031</v>
      </c>
      <c r="H34" s="27" t="n">
        <v>303699</v>
      </c>
      <c r="I34" s="27" t="n">
        <v>607331</v>
      </c>
      <c r="J34" s="27" t="n">
        <v>133613</v>
      </c>
      <c r="K34" s="27" t="n">
        <f aca="false">I34-J34</f>
        <v>473718</v>
      </c>
    </row>
    <row r="35" customFormat="false" ht="15" hidden="false" customHeight="false" outlineLevel="0" collapsed="false">
      <c r="B35" s="39" t="s">
        <v>114</v>
      </c>
      <c r="C35" s="79" t="n">
        <f aca="false">13_Revenue_Build!C35</f>
        <v>1953010</v>
      </c>
      <c r="D35" s="79" t="n">
        <f aca="false">13_Revenue_Build!D35</f>
        <v>626330</v>
      </c>
      <c r="E35" s="27" t="n">
        <f aca="false">C35-D35</f>
        <v>1326680</v>
      </c>
      <c r="F35" s="61" t="n">
        <f aca="false">IF(C35=0,0,E35/C35)</f>
        <v>0.679300157193256</v>
      </c>
      <c r="G35" s="27" t="n">
        <v>989350</v>
      </c>
      <c r="H35" s="27" t="n">
        <v>316241</v>
      </c>
      <c r="I35" s="27" t="n">
        <v>673109</v>
      </c>
      <c r="J35" s="27" t="n">
        <v>148084</v>
      </c>
      <c r="K35" s="27" t="n">
        <f aca="false">I35-J35</f>
        <v>525025</v>
      </c>
    </row>
    <row r="36" customFormat="false" ht="15" hidden="false" customHeight="false" outlineLevel="0" collapsed="false">
      <c r="B36" s="39" t="s">
        <v>115</v>
      </c>
      <c r="C36" s="79" t="n">
        <f aca="false">13_Revenue_Build!C36</f>
        <v>2120168</v>
      </c>
      <c r="D36" s="79" t="n">
        <f aca="false">13_Revenue_Build!D36</f>
        <v>680409</v>
      </c>
      <c r="E36" s="27" t="n">
        <f aca="false">C36-D36</f>
        <v>1439759</v>
      </c>
      <c r="F36" s="61" t="n">
        <f aca="false">IF(C36=0,0,E36/C36)</f>
        <v>0.67907779006192</v>
      </c>
      <c r="G36" s="27" t="n">
        <v>1073122</v>
      </c>
      <c r="H36" s="27" t="n">
        <v>329613</v>
      </c>
      <c r="I36" s="27" t="n">
        <v>743508</v>
      </c>
      <c r="J36" s="27" t="n">
        <v>163572</v>
      </c>
      <c r="K36" s="27" t="n">
        <f aca="false">I36-J36</f>
        <v>579936</v>
      </c>
    </row>
    <row r="37" customFormat="false" ht="15" hidden="false" customHeight="false" outlineLevel="0" collapsed="false">
      <c r="B37" s="39" t="s">
        <v>116</v>
      </c>
      <c r="C37" s="79" t="n">
        <f aca="false">13_Revenue_Build!C37</f>
        <v>2298579</v>
      </c>
      <c r="D37" s="79" t="n">
        <f aca="false">13_Revenue_Build!D37</f>
        <v>737812</v>
      </c>
      <c r="E37" s="27" t="n">
        <f aca="false">C37-D37</f>
        <v>1560767</v>
      </c>
      <c r="F37" s="61" t="n">
        <f aca="false">IF(C37=0,0,E37/C37)</f>
        <v>0.679013860302387</v>
      </c>
      <c r="G37" s="27" t="n">
        <v>1162799</v>
      </c>
      <c r="H37" s="27" t="n">
        <v>343886</v>
      </c>
      <c r="I37" s="27" t="n">
        <v>818913</v>
      </c>
      <c r="J37" s="27" t="n">
        <v>180161</v>
      </c>
      <c r="K37" s="27" t="n">
        <f aca="false">I37-J37</f>
        <v>638752</v>
      </c>
    </row>
    <row r="38" customFormat="false" ht="15" hidden="false" customHeight="false" outlineLevel="0" collapsed="false">
      <c r="B38" s="39" t="s">
        <v>68</v>
      </c>
      <c r="C38" s="79" t="n">
        <f aca="false">13_Revenue_Build!C38</f>
        <v>2489175</v>
      </c>
      <c r="D38" s="79" t="n">
        <f aca="false">13_Revenue_Build!D38</f>
        <v>798813</v>
      </c>
      <c r="E38" s="27" t="n">
        <f aca="false">C38-D38</f>
        <v>1690362</v>
      </c>
      <c r="F38" s="61" t="n">
        <f aca="false">IF(C38=0,0,E38/C38)</f>
        <v>0.679085239085239</v>
      </c>
      <c r="G38" s="27" t="n">
        <v>1258871</v>
      </c>
      <c r="H38" s="27" t="n">
        <v>359134</v>
      </c>
      <c r="I38" s="27" t="n">
        <v>899737</v>
      </c>
      <c r="J38" s="27" t="n">
        <v>197942</v>
      </c>
      <c r="K38" s="27" t="n">
        <f aca="false">I38-J38</f>
        <v>701795</v>
      </c>
    </row>
    <row r="39" customFormat="false" ht="15" hidden="false" customHeight="false" outlineLevel="0" collapsed="false">
      <c r="B39" s="39" t="s">
        <v>117</v>
      </c>
      <c r="C39" s="79" t="n">
        <f aca="false">13_Revenue_Build!C39</f>
        <v>2692960</v>
      </c>
      <c r="D39" s="79" t="n">
        <f aca="false">13_Revenue_Build!D39</f>
        <v>863709</v>
      </c>
      <c r="E39" s="27" t="n">
        <f aca="false">C39-D39</f>
        <v>1829251</v>
      </c>
      <c r="F39" s="61" t="n">
        <f aca="false">IF(C39=0,0,E39/C39)</f>
        <v>0.679271507931793</v>
      </c>
      <c r="G39" s="27" t="n">
        <v>1361867</v>
      </c>
      <c r="H39" s="27" t="n">
        <v>375437</v>
      </c>
      <c r="I39" s="27" t="n">
        <v>986430</v>
      </c>
      <c r="J39" s="27" t="n">
        <v>217015</v>
      </c>
      <c r="K39" s="27" t="n">
        <f aca="false">I39-J39</f>
        <v>769415</v>
      </c>
    </row>
    <row r="40" customFormat="false" ht="15" hidden="false" customHeight="false" outlineLevel="0" collapsed="false">
      <c r="B40" s="39" t="s">
        <v>118</v>
      </c>
      <c r="C40" s="79" t="n">
        <f aca="false">13_Revenue_Build!C40</f>
        <v>2911019</v>
      </c>
      <c r="D40" s="79" t="n">
        <f aca="false">13_Revenue_Build!D40</f>
        <v>932820</v>
      </c>
      <c r="E40" s="27" t="n">
        <f aca="false">C40-D40</f>
        <v>1978199</v>
      </c>
      <c r="F40" s="61" t="n">
        <f aca="false">IF(C40=0,0,E40/C40)</f>
        <v>0.679555509599903</v>
      </c>
      <c r="G40" s="27" t="n">
        <v>1472354</v>
      </c>
      <c r="H40" s="27" t="n">
        <v>392882</v>
      </c>
      <c r="I40" s="27" t="n">
        <v>1079472</v>
      </c>
      <c r="J40" s="27" t="n">
        <v>237484</v>
      </c>
      <c r="K40" s="27" t="n">
        <f aca="false">I40-J40</f>
        <v>841988</v>
      </c>
    </row>
    <row r="41" customFormat="false" ht="15" hidden="false" customHeight="false" outlineLevel="0" collapsed="false">
      <c r="B41" s="39" t="s">
        <v>119</v>
      </c>
      <c r="C41" s="79" t="n">
        <f aca="false">13_Revenue_Build!C41</f>
        <v>3144521</v>
      </c>
      <c r="D41" s="79" t="n">
        <f aca="false">13_Revenue_Build!D41</f>
        <v>1006492</v>
      </c>
      <c r="E41" s="27" t="n">
        <f aca="false">C41-D41</f>
        <v>2138029</v>
      </c>
      <c r="F41" s="61" t="n">
        <f aca="false">IF(C41=0,0,E41/C41)</f>
        <v>0.679921997658785</v>
      </c>
      <c r="G41" s="27" t="n">
        <v>1590946</v>
      </c>
      <c r="H41" s="27" t="n">
        <v>411562</v>
      </c>
      <c r="I41" s="27" t="n">
        <v>1179384</v>
      </c>
      <c r="J41" s="27" t="n">
        <v>259465</v>
      </c>
      <c r="K41" s="27" t="n">
        <f aca="false">I41-J41</f>
        <v>919919</v>
      </c>
    </row>
    <row r="42" customFormat="false" ht="15" hidden="false" customHeight="false" outlineLevel="0" collapsed="false">
      <c r="B42" s="39" t="s">
        <v>120</v>
      </c>
      <c r="C42" s="79" t="n">
        <f aca="false">13_Revenue_Build!C42</f>
        <v>3390578</v>
      </c>
      <c r="D42" s="79" t="n">
        <f aca="false">13_Revenue_Build!D42</f>
        <v>1082835</v>
      </c>
      <c r="E42" s="27" t="n">
        <f aca="false">C42-D42</f>
        <v>2307743</v>
      </c>
      <c r="F42" s="61" t="n">
        <f aca="false">IF(C42=0,0,E42/C42)</f>
        <v>0.680634098374967</v>
      </c>
      <c r="G42" s="27" t="n">
        <v>1717079</v>
      </c>
      <c r="H42" s="27" t="n">
        <v>431246</v>
      </c>
      <c r="I42" s="27" t="n">
        <v>1285832</v>
      </c>
      <c r="J42" s="27" t="n">
        <v>282883</v>
      </c>
      <c r="K42" s="27" t="n">
        <f aca="false">I42-J42</f>
        <v>1002949</v>
      </c>
    </row>
    <row r="43" customFormat="false" ht="15" hidden="false" customHeight="false" outlineLevel="0" collapsed="false">
      <c r="B43" s="39" t="s">
        <v>121</v>
      </c>
      <c r="C43" s="79" t="n">
        <f aca="false">13_Revenue_Build!C43</f>
        <v>3642256</v>
      </c>
      <c r="D43" s="79" t="n">
        <f aca="false">13_Revenue_Build!D43</f>
        <v>1157728</v>
      </c>
      <c r="E43" s="27" t="n">
        <f aca="false">C43-D43</f>
        <v>2484528</v>
      </c>
      <c r="F43" s="61" t="n">
        <f aca="false">IF(C43=0,0,E43/C43)</f>
        <v>0.682139860569933</v>
      </c>
      <c r="G43" s="27" t="n">
        <v>1849013</v>
      </c>
      <c r="H43" s="27" t="n">
        <v>451380</v>
      </c>
      <c r="I43" s="27" t="n">
        <v>1397633</v>
      </c>
      <c r="J43" s="27" t="n">
        <v>307479</v>
      </c>
      <c r="K43" s="27" t="n">
        <f aca="false">I43-J43</f>
        <v>1090154</v>
      </c>
    </row>
    <row r="44" customFormat="false" ht="15" hidden="false" customHeight="false" outlineLevel="0" collapsed="false">
      <c r="B44" s="39" t="s">
        <v>122</v>
      </c>
      <c r="C44" s="79" t="n">
        <f aca="false">13_Revenue_Build!C44</f>
        <v>3913464</v>
      </c>
      <c r="D44" s="79" t="n">
        <f aca="false">13_Revenue_Build!D44</f>
        <v>1238389</v>
      </c>
      <c r="E44" s="27" t="n">
        <f aca="false">C44-D44</f>
        <v>2675075</v>
      </c>
      <c r="F44" s="61" t="n">
        <f aca="false">IF(C44=0,0,E44/C44)</f>
        <v>0.683556818205048</v>
      </c>
      <c r="G44" s="27" t="n">
        <v>1991199</v>
      </c>
      <c r="H44" s="27" t="n">
        <v>473077</v>
      </c>
      <c r="I44" s="27" t="n">
        <v>1518122</v>
      </c>
      <c r="J44" s="27" t="n">
        <v>333987</v>
      </c>
      <c r="K44" s="27" t="n">
        <f aca="false">I44-J44</f>
        <v>1184135</v>
      </c>
    </row>
    <row r="45" customFormat="false" ht="15" hidden="false" customHeight="false" outlineLevel="0" collapsed="false">
      <c r="B45" s="67" t="s">
        <v>86</v>
      </c>
      <c r="C45" s="68" t="n">
        <f aca="false">SUM(C9:C20)</f>
        <v>2088788</v>
      </c>
      <c r="D45" s="68" t="n">
        <f aca="false">SUM(D9:D20)</f>
        <v>673642</v>
      </c>
      <c r="E45" s="68" t="n">
        <f aca="false">SUM(E9:E20)</f>
        <v>1415146</v>
      </c>
      <c r="G45" s="68" t="n">
        <f aca="false">SUM(G9:G20)</f>
        <v>1060795</v>
      </c>
      <c r="H45" s="68" t="n">
        <f aca="false">SUM(H9:H20)</f>
        <v>1880000</v>
      </c>
      <c r="I45" s="68" t="n">
        <f aca="false">SUM(I9:I20)</f>
        <v>-819205</v>
      </c>
      <c r="J45" s="68" t="n">
        <f aca="false">SUM(J9:J20)</f>
        <v>0</v>
      </c>
      <c r="K45" s="68" t="n">
        <f aca="false">SUM(K9:K20)</f>
        <v>-819205</v>
      </c>
    </row>
    <row r="46" customFormat="false" ht="15" hidden="false" customHeight="false" outlineLevel="0" collapsed="false">
      <c r="B46" s="67" t="s">
        <v>87</v>
      </c>
      <c r="C46" s="68" t="n">
        <f aca="false">SUM(C21:C32)</f>
        <v>11557379</v>
      </c>
      <c r="D46" s="68" t="n">
        <f aca="false">SUM(D21:D32)</f>
        <v>3686650</v>
      </c>
      <c r="E46" s="68" t="n">
        <f aca="false">SUM(E21:E32)</f>
        <v>7870729</v>
      </c>
      <c r="G46" s="68" t="n">
        <f aca="false">SUM(G21:G32)</f>
        <v>5895383</v>
      </c>
      <c r="H46" s="68" t="n">
        <f aca="false">SUM(H21:H32)</f>
        <v>2732393</v>
      </c>
      <c r="I46" s="68" t="n">
        <f aca="false">SUM(I21:I32)</f>
        <v>3162992</v>
      </c>
      <c r="J46" s="68" t="n">
        <f aca="false">SUM(J21:J32)</f>
        <v>515633</v>
      </c>
      <c r="K46" s="68" t="n">
        <f aca="false">SUM(K21:K32)</f>
        <v>2647359</v>
      </c>
    </row>
    <row r="47" customFormat="false" ht="15" hidden="false" customHeight="false" outlineLevel="0" collapsed="false">
      <c r="B47" s="67" t="s">
        <v>88</v>
      </c>
      <c r="C47" s="68" t="n">
        <f aca="false">SUM(C33:C44)</f>
        <v>32001019</v>
      </c>
      <c r="D47" s="68" t="n">
        <f aca="false">SUM(D33:D44)</f>
        <v>10227790</v>
      </c>
      <c r="E47" s="68" t="n">
        <f aca="false">SUM(E33:E44)</f>
        <v>21773229</v>
      </c>
      <c r="G47" s="68" t="n">
        <f aca="false">SUM(G33:G44)</f>
        <v>16215372</v>
      </c>
      <c r="H47" s="68" t="n">
        <f aca="false">SUM(H33:H44)</f>
        <v>4480081</v>
      </c>
      <c r="I47" s="68" t="n">
        <f aca="false">SUM(I33:I44)</f>
        <v>11735288</v>
      </c>
      <c r="J47" s="68" t="n">
        <f aca="false">SUM(J33:J44)</f>
        <v>2581765</v>
      </c>
      <c r="K47" s="68" t="n">
        <f aca="false">SUM(K33:K44)</f>
        <v>9153523</v>
      </c>
    </row>
    <row r="49" customFormat="false" ht="15" hidden="false" customHeight="false" outlineLevel="0" collapsed="false">
      <c r="B49" s="39" t="s">
        <v>793</v>
      </c>
      <c r="C49" s="61" t="n">
        <f aca="false">I47/C47</f>
        <v>0.36671607238507</v>
      </c>
    </row>
    <row r="50" customFormat="false" ht="15" hidden="false" customHeight="false" outlineLevel="0" collapsed="false">
      <c r="B50" s="15" t="s">
        <v>794</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52435"/>
    <pageSetUpPr fitToPage="false"/>
  </sheetPr>
  <dimension ref="B2:I48"/>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2" ySplit="8" topLeftCell="C9" activePane="bottomRight" state="frozen"/>
      <selection pane="topLeft" activeCell="A1" activeCellId="0" sqref="A1"/>
      <selection pane="topRight" activeCell="C1" activeCellId="0" sqref="C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2" min="2" style="0" width="9"/>
    <col collapsed="false" customWidth="true" hidden="false" outlineLevel="0" max="4" min="3" style="0" width="13"/>
    <col collapsed="false" customWidth="true" hidden="false" outlineLevel="0" max="6" min="5" style="0" width="14"/>
  </cols>
  <sheetData>
    <row r="2" customFormat="false" ht="24" hidden="false" customHeight="true" outlineLevel="0" collapsed="false">
      <c r="E2" s="11" t="s">
        <v>795</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796</v>
      </c>
    </row>
    <row r="6" customFormat="false" ht="15" hidden="false" customHeight="false" outlineLevel="0" collapsed="false">
      <c r="B6" s="15" t="s">
        <v>797</v>
      </c>
    </row>
    <row r="7" customFormat="false" ht="15" hidden="false" customHeight="false" outlineLevel="0" collapsed="false">
      <c r="B7" s="62" t="s">
        <v>798</v>
      </c>
      <c r="C7" s="63" t="s">
        <v>799</v>
      </c>
      <c r="D7" s="62" t="s">
        <v>800</v>
      </c>
      <c r="E7" s="63" t="s">
        <v>801</v>
      </c>
      <c r="F7" s="62" t="s">
        <v>802</v>
      </c>
      <c r="G7" s="63" t="s">
        <v>803</v>
      </c>
      <c r="H7" s="62" t="s">
        <v>804</v>
      </c>
      <c r="I7" s="63" t="s">
        <v>68</v>
      </c>
    </row>
    <row r="8" customFormat="false" ht="19.5" hidden="false" customHeight="true" outlineLevel="0" collapsed="false">
      <c r="B8" s="41" t="s">
        <v>461</v>
      </c>
      <c r="C8" s="41" t="s">
        <v>805</v>
      </c>
      <c r="D8" s="41" t="s">
        <v>806</v>
      </c>
      <c r="E8" s="41" t="s">
        <v>807</v>
      </c>
      <c r="F8" s="41" t="s">
        <v>808</v>
      </c>
    </row>
    <row r="9" customFormat="false" ht="15" hidden="false" customHeight="false" outlineLevel="0" collapsed="false">
      <c r="B9" s="39" t="s">
        <v>90</v>
      </c>
      <c r="C9" s="79" t="n">
        <f aca="false">23_Monthly_PnL!I9-23_Monthly_PnL!J9</f>
        <v>-253000</v>
      </c>
      <c r="D9" s="27" t="n">
        <v>236000</v>
      </c>
      <c r="E9" s="27" t="n">
        <f aca="false">C9-D9+2000000</f>
        <v>1511000</v>
      </c>
      <c r="F9" s="27" t="n">
        <f aca="false">E9</f>
        <v>1511000</v>
      </c>
    </row>
    <row r="10" customFormat="false" ht="15" hidden="false" customHeight="false" outlineLevel="0" collapsed="false">
      <c r="B10" s="39" t="s">
        <v>91</v>
      </c>
      <c r="C10" s="79" t="n">
        <f aca="false">23_Monthly_PnL!I10-23_Monthly_PnL!J10</f>
        <v>-118000</v>
      </c>
      <c r="D10" s="27" t="n">
        <v>0</v>
      </c>
      <c r="E10" s="27" t="n">
        <f aca="false">C10-D10</f>
        <v>-118000</v>
      </c>
      <c r="F10" s="27" t="n">
        <f aca="false">F9+E10</f>
        <v>1393000</v>
      </c>
    </row>
    <row r="11" customFormat="false" ht="15" hidden="false" customHeight="false" outlineLevel="0" collapsed="false">
      <c r="B11" s="39" t="s">
        <v>92</v>
      </c>
      <c r="C11" s="79" t="n">
        <f aca="false">23_Monthly_PnL!I11-23_Monthly_PnL!J11</f>
        <v>-88000</v>
      </c>
      <c r="D11" s="27" t="n">
        <v>0</v>
      </c>
      <c r="E11" s="27" t="n">
        <f aca="false">C11-D11</f>
        <v>-88000</v>
      </c>
      <c r="F11" s="27" t="n">
        <f aca="false">F10+E11</f>
        <v>1305000</v>
      </c>
    </row>
    <row r="12" customFormat="false" ht="15" hidden="false" customHeight="false" outlineLevel="0" collapsed="false">
      <c r="B12" s="39" t="s">
        <v>93</v>
      </c>
      <c r="C12" s="79" t="n">
        <f aca="false">23_Monthly_PnL!I12-23_Monthly_PnL!J12</f>
        <v>-84596</v>
      </c>
      <c r="D12" s="27" t="n">
        <v>0</v>
      </c>
      <c r="E12" s="27" t="n">
        <f aca="false">C12-D12</f>
        <v>-84596</v>
      </c>
      <c r="F12" s="27" t="n">
        <f aca="false">F11+E12</f>
        <v>1220404</v>
      </c>
    </row>
    <row r="13" customFormat="false" ht="15" hidden="false" customHeight="false" outlineLevel="0" collapsed="false">
      <c r="B13" s="39" t="s">
        <v>94</v>
      </c>
      <c r="C13" s="79" t="n">
        <f aca="false">23_Monthly_PnL!I13-23_Monthly_PnL!J13</f>
        <v>-63898</v>
      </c>
      <c r="D13" s="27" t="n">
        <v>0</v>
      </c>
      <c r="E13" s="27" t="n">
        <f aca="false">C13-D13</f>
        <v>-63898</v>
      </c>
      <c r="F13" s="27" t="n">
        <f aca="false">F12+E13</f>
        <v>1156506</v>
      </c>
    </row>
    <row r="14" customFormat="false" ht="15" hidden="false" customHeight="false" outlineLevel="0" collapsed="false">
      <c r="B14" s="39" t="s">
        <v>95</v>
      </c>
      <c r="C14" s="79" t="n">
        <f aca="false">23_Monthly_PnL!I14-23_Monthly_PnL!J14</f>
        <v>-74978</v>
      </c>
      <c r="D14" s="27" t="n">
        <v>0</v>
      </c>
      <c r="E14" s="27" t="n">
        <f aca="false">C14-D14</f>
        <v>-74978</v>
      </c>
      <c r="F14" s="27" t="n">
        <f aca="false">F13+E14</f>
        <v>1081528</v>
      </c>
    </row>
    <row r="15" customFormat="false" ht="15" hidden="false" customHeight="false" outlineLevel="0" collapsed="false">
      <c r="B15" s="39" t="s">
        <v>96</v>
      </c>
      <c r="C15" s="79" t="n">
        <f aca="false">23_Monthly_PnL!I15-23_Monthly_PnL!J15</f>
        <v>-98494</v>
      </c>
      <c r="D15" s="27" t="n">
        <v>236000</v>
      </c>
      <c r="E15" s="27" t="n">
        <f aca="false">C15-D15</f>
        <v>-334494</v>
      </c>
      <c r="F15" s="27" t="n">
        <f aca="false">F14+E15</f>
        <v>747034</v>
      </c>
    </row>
    <row r="16" customFormat="false" ht="15" hidden="false" customHeight="false" outlineLevel="0" collapsed="false">
      <c r="B16" s="39" t="s">
        <v>97</v>
      </c>
      <c r="C16" s="79" t="n">
        <f aca="false">23_Monthly_PnL!I16-23_Monthly_PnL!J16</f>
        <v>-62017</v>
      </c>
      <c r="D16" s="27" t="n">
        <v>0</v>
      </c>
      <c r="E16" s="27" t="n">
        <f aca="false">C16-D16</f>
        <v>-62017</v>
      </c>
      <c r="F16" s="27" t="n">
        <f aca="false">F15+E16</f>
        <v>685017</v>
      </c>
    </row>
    <row r="17" customFormat="false" ht="15" hidden="false" customHeight="false" outlineLevel="0" collapsed="false">
      <c r="B17" s="39" t="s">
        <v>98</v>
      </c>
      <c r="C17" s="79" t="n">
        <f aca="false">23_Monthly_PnL!I17-23_Monthly_PnL!J17</f>
        <v>-35905</v>
      </c>
      <c r="D17" s="27" t="n">
        <v>196800</v>
      </c>
      <c r="E17" s="27" t="n">
        <f aca="false">C17-D17</f>
        <v>-232705</v>
      </c>
      <c r="F17" s="27" t="n">
        <f aca="false">F16+E17</f>
        <v>452312</v>
      </c>
    </row>
    <row r="18" customFormat="false" ht="15" hidden="false" customHeight="false" outlineLevel="0" collapsed="false">
      <c r="B18" s="39" t="s">
        <v>99</v>
      </c>
      <c r="C18" s="79" t="n">
        <f aca="false">23_Monthly_PnL!I18-23_Monthly_PnL!J18</f>
        <v>-8789</v>
      </c>
      <c r="D18" s="27" t="n">
        <v>0</v>
      </c>
      <c r="E18" s="27" t="n">
        <f aca="false">C18-D18</f>
        <v>-8789</v>
      </c>
      <c r="F18" s="27" t="n">
        <f aca="false">F17+E18</f>
        <v>443523</v>
      </c>
    </row>
    <row r="19" customFormat="false" ht="15" hidden="false" customHeight="false" outlineLevel="0" collapsed="false">
      <c r="B19" s="39" t="s">
        <v>67</v>
      </c>
      <c r="C19" s="79" t="n">
        <f aca="false">23_Monthly_PnL!I19-23_Monthly_PnL!J19</f>
        <v>19467</v>
      </c>
      <c r="D19" s="27" t="n">
        <v>196800</v>
      </c>
      <c r="E19" s="27" t="n">
        <f aca="false">C19-D19</f>
        <v>-177333</v>
      </c>
      <c r="F19" s="27" t="n">
        <f aca="false">F18+E19</f>
        <v>266190</v>
      </c>
    </row>
    <row r="20" customFormat="false" ht="15" hidden="false" customHeight="false" outlineLevel="0" collapsed="false">
      <c r="B20" s="39" t="s">
        <v>100</v>
      </c>
      <c r="C20" s="79" t="n">
        <f aca="false">23_Monthly_PnL!I20-23_Monthly_PnL!J20</f>
        <v>49005</v>
      </c>
      <c r="D20" s="27" t="n">
        <v>0</v>
      </c>
      <c r="E20" s="27" t="n">
        <f aca="false">C20-D20</f>
        <v>49005</v>
      </c>
      <c r="F20" s="27" t="n">
        <f aca="false">F19+E20</f>
        <v>315195</v>
      </c>
    </row>
    <row r="21" customFormat="false" ht="15" hidden="false" customHeight="false" outlineLevel="0" collapsed="false">
      <c r="B21" s="39" t="s">
        <v>72</v>
      </c>
      <c r="C21" s="79" t="n">
        <f aca="false">23_Monthly_PnL!I21-23_Monthly_PnL!J21</f>
        <v>78548</v>
      </c>
      <c r="D21" s="27" t="n">
        <v>196800</v>
      </c>
      <c r="E21" s="27" t="n">
        <f aca="false">C21-D21</f>
        <v>-118252</v>
      </c>
      <c r="F21" s="27" t="n">
        <f aca="false">F20+E21</f>
        <v>196943</v>
      </c>
    </row>
    <row r="22" customFormat="false" ht="15" hidden="false" customHeight="false" outlineLevel="0" collapsed="false">
      <c r="B22" s="39" t="s">
        <v>101</v>
      </c>
      <c r="C22" s="79" t="n">
        <f aca="false">23_Monthly_PnL!I22-23_Monthly_PnL!J22</f>
        <v>112552</v>
      </c>
      <c r="D22" s="27" t="n">
        <v>0</v>
      </c>
      <c r="E22" s="27" t="n">
        <f aca="false">C22-D22</f>
        <v>112552</v>
      </c>
      <c r="F22" s="27" t="n">
        <f aca="false">F21+E22</f>
        <v>309495</v>
      </c>
    </row>
    <row r="23" customFormat="false" ht="15" hidden="false" customHeight="false" outlineLevel="0" collapsed="false">
      <c r="B23" s="39" t="s">
        <v>102</v>
      </c>
      <c r="C23" s="79" t="n">
        <f aca="false">23_Monthly_PnL!I23-23_Monthly_PnL!J23</f>
        <v>146278</v>
      </c>
      <c r="D23" s="27" t="n">
        <v>196800</v>
      </c>
      <c r="E23" s="27" t="n">
        <f aca="false">C23-D23</f>
        <v>-50522</v>
      </c>
      <c r="F23" s="27" t="n">
        <f aca="false">F22+E23</f>
        <v>258973</v>
      </c>
    </row>
    <row r="24" customFormat="false" ht="15" hidden="false" customHeight="false" outlineLevel="0" collapsed="false">
      <c r="B24" s="39" t="s">
        <v>103</v>
      </c>
      <c r="C24" s="79" t="n">
        <f aca="false">23_Monthly_PnL!I24-23_Monthly_PnL!J24</f>
        <v>177977</v>
      </c>
      <c r="D24" s="27" t="n">
        <v>0</v>
      </c>
      <c r="E24" s="27" t="n">
        <f aca="false">C24-D24</f>
        <v>177977</v>
      </c>
      <c r="F24" s="27" t="n">
        <f aca="false">F23+E24</f>
        <v>436950</v>
      </c>
    </row>
    <row r="25" customFormat="false" ht="15" hidden="false" customHeight="false" outlineLevel="0" collapsed="false">
      <c r="B25" s="39" t="s">
        <v>104</v>
      </c>
      <c r="C25" s="79" t="n">
        <f aca="false">23_Monthly_PnL!I25-23_Monthly_PnL!J25</f>
        <v>211489</v>
      </c>
      <c r="D25" s="27" t="n">
        <v>196800</v>
      </c>
      <c r="E25" s="27" t="n">
        <f aca="false">C25-D25</f>
        <v>14689</v>
      </c>
      <c r="F25" s="27" t="n">
        <f aca="false">F24+E25</f>
        <v>451639</v>
      </c>
    </row>
    <row r="26" customFormat="false" ht="15" hidden="false" customHeight="false" outlineLevel="0" collapsed="false">
      <c r="B26" s="39" t="s">
        <v>105</v>
      </c>
      <c r="C26" s="79" t="n">
        <f aca="false">23_Monthly_PnL!I26-23_Monthly_PnL!J26</f>
        <v>193471</v>
      </c>
      <c r="D26" s="27" t="n">
        <v>0</v>
      </c>
      <c r="E26" s="27" t="n">
        <f aca="false">C26-D26</f>
        <v>193471</v>
      </c>
      <c r="F26" s="27" t="n">
        <f aca="false">F25+E26</f>
        <v>645110</v>
      </c>
    </row>
    <row r="27" customFormat="false" ht="15" hidden="false" customHeight="false" outlineLevel="0" collapsed="false">
      <c r="B27" s="39" t="s">
        <v>106</v>
      </c>
      <c r="C27" s="79" t="n">
        <f aca="false">23_Monthly_PnL!I27-23_Monthly_PnL!J27</f>
        <v>202538</v>
      </c>
      <c r="D27" s="27" t="n">
        <v>196800</v>
      </c>
      <c r="E27" s="27" t="n">
        <f aca="false">C27-D27</f>
        <v>5738</v>
      </c>
      <c r="F27" s="27" t="n">
        <f aca="false">F26+E27</f>
        <v>650848</v>
      </c>
    </row>
    <row r="28" customFormat="false" ht="15" hidden="false" customHeight="false" outlineLevel="0" collapsed="false">
      <c r="B28" s="39" t="s">
        <v>107</v>
      </c>
      <c r="C28" s="79" t="n">
        <f aca="false">23_Monthly_PnL!I28-23_Monthly_PnL!J28</f>
        <v>233778</v>
      </c>
      <c r="D28" s="27" t="n">
        <v>0</v>
      </c>
      <c r="E28" s="27" t="n">
        <f aca="false">C28-D28</f>
        <v>233778</v>
      </c>
      <c r="F28" s="27" t="n">
        <f aca="false">F27+E28</f>
        <v>884626</v>
      </c>
    </row>
    <row r="29" customFormat="false" ht="15" hidden="false" customHeight="false" outlineLevel="0" collapsed="false">
      <c r="B29" s="39" t="s">
        <v>108</v>
      </c>
      <c r="C29" s="79" t="n">
        <f aca="false">23_Monthly_PnL!I29-23_Monthly_PnL!J29</f>
        <v>267040</v>
      </c>
      <c r="D29" s="27" t="n">
        <v>196800</v>
      </c>
      <c r="E29" s="27" t="n">
        <f aca="false">C29-D29</f>
        <v>70240</v>
      </c>
      <c r="F29" s="27" t="n">
        <f aca="false">F28+E29</f>
        <v>954866</v>
      </c>
    </row>
    <row r="30" customFormat="false" ht="15" hidden="false" customHeight="false" outlineLevel="0" collapsed="false">
      <c r="B30" s="39" t="s">
        <v>109</v>
      </c>
      <c r="C30" s="79" t="n">
        <f aca="false">23_Monthly_PnL!I30-23_Monthly_PnL!J30</f>
        <v>302503</v>
      </c>
      <c r="D30" s="27" t="n">
        <v>0</v>
      </c>
      <c r="E30" s="27" t="n">
        <f aca="false">C30-D30</f>
        <v>302503</v>
      </c>
      <c r="F30" s="27" t="n">
        <f aca="false">F29+E30</f>
        <v>1257369</v>
      </c>
    </row>
    <row r="31" customFormat="false" ht="15" hidden="false" customHeight="false" outlineLevel="0" collapsed="false">
      <c r="B31" s="39" t="s">
        <v>110</v>
      </c>
      <c r="C31" s="79" t="n">
        <f aca="false">23_Monthly_PnL!I31-23_Monthly_PnL!J31</f>
        <v>340362</v>
      </c>
      <c r="D31" s="27" t="n">
        <v>196800</v>
      </c>
      <c r="E31" s="27" t="n">
        <f aca="false">C31-D31</f>
        <v>143562</v>
      </c>
      <c r="F31" s="27" t="n">
        <f aca="false">F30+E31</f>
        <v>1400931</v>
      </c>
    </row>
    <row r="32" customFormat="false" ht="15" hidden="false" customHeight="false" outlineLevel="0" collapsed="false">
      <c r="B32" s="39" t="s">
        <v>111</v>
      </c>
      <c r="C32" s="79" t="n">
        <f aca="false">23_Monthly_PnL!I32-23_Monthly_PnL!J32</f>
        <v>380823</v>
      </c>
      <c r="D32" s="27" t="n">
        <v>0</v>
      </c>
      <c r="E32" s="27" t="n">
        <f aca="false">C32-D32</f>
        <v>380823</v>
      </c>
      <c r="F32" s="27" t="n">
        <f aca="false">F31+E32</f>
        <v>1781754</v>
      </c>
    </row>
    <row r="33" customFormat="false" ht="15" hidden="false" customHeight="false" outlineLevel="0" collapsed="false">
      <c r="B33" s="39" t="s">
        <v>112</v>
      </c>
      <c r="C33" s="79" t="n">
        <f aca="false">23_Monthly_PnL!I33-23_Monthly_PnL!J33</f>
        <v>425737</v>
      </c>
      <c r="D33" s="27" t="n">
        <v>196800</v>
      </c>
      <c r="E33" s="27" t="n">
        <f aca="false">C33-D33</f>
        <v>228937</v>
      </c>
      <c r="F33" s="27" t="n">
        <f aca="false">F32+E33</f>
        <v>2010691</v>
      </c>
    </row>
    <row r="34" customFormat="false" ht="15" hidden="false" customHeight="false" outlineLevel="0" collapsed="false">
      <c r="B34" s="39" t="s">
        <v>113</v>
      </c>
      <c r="C34" s="79" t="n">
        <f aca="false">23_Monthly_PnL!I34-23_Monthly_PnL!J34</f>
        <v>473718</v>
      </c>
      <c r="D34" s="27" t="n">
        <v>0</v>
      </c>
      <c r="E34" s="27" t="n">
        <f aca="false">C34-D34</f>
        <v>473718</v>
      </c>
      <c r="F34" s="27" t="n">
        <f aca="false">F33+E34</f>
        <v>2484409</v>
      </c>
    </row>
    <row r="35" customFormat="false" ht="15" hidden="false" customHeight="false" outlineLevel="0" collapsed="false">
      <c r="B35" s="39" t="s">
        <v>114</v>
      </c>
      <c r="C35" s="79" t="n">
        <f aca="false">23_Monthly_PnL!I35-23_Monthly_PnL!J35</f>
        <v>525025</v>
      </c>
      <c r="D35" s="27" t="n">
        <v>196800</v>
      </c>
      <c r="E35" s="27" t="n">
        <f aca="false">C35-D35</f>
        <v>328225</v>
      </c>
      <c r="F35" s="27" t="n">
        <f aca="false">F34+E35</f>
        <v>2812634</v>
      </c>
    </row>
    <row r="36" customFormat="false" ht="15" hidden="false" customHeight="false" outlineLevel="0" collapsed="false">
      <c r="B36" s="39" t="s">
        <v>115</v>
      </c>
      <c r="C36" s="79" t="n">
        <f aca="false">23_Monthly_PnL!I36-23_Monthly_PnL!J36</f>
        <v>579936</v>
      </c>
      <c r="D36" s="27" t="n">
        <v>0</v>
      </c>
      <c r="E36" s="27" t="n">
        <f aca="false">C36-D36</f>
        <v>579936</v>
      </c>
      <c r="F36" s="27" t="n">
        <f aca="false">F35+E36</f>
        <v>3392570</v>
      </c>
    </row>
    <row r="37" customFormat="false" ht="15" hidden="false" customHeight="false" outlineLevel="0" collapsed="false">
      <c r="B37" s="39" t="s">
        <v>116</v>
      </c>
      <c r="C37" s="79" t="n">
        <f aca="false">23_Monthly_PnL!I37-23_Monthly_PnL!J37</f>
        <v>638752</v>
      </c>
      <c r="D37" s="27" t="n">
        <v>196800</v>
      </c>
      <c r="E37" s="27" t="n">
        <f aca="false">C37-D37</f>
        <v>441952</v>
      </c>
      <c r="F37" s="27" t="n">
        <f aca="false">F36+E37</f>
        <v>3834522</v>
      </c>
    </row>
    <row r="38" customFormat="false" ht="15" hidden="false" customHeight="false" outlineLevel="0" collapsed="false">
      <c r="B38" s="39" t="s">
        <v>68</v>
      </c>
      <c r="C38" s="79" t="n">
        <f aca="false">23_Monthly_PnL!I38-23_Monthly_PnL!J38</f>
        <v>701795</v>
      </c>
      <c r="D38" s="27" t="n">
        <v>0</v>
      </c>
      <c r="E38" s="27" t="n">
        <f aca="false">C38-D38</f>
        <v>701795</v>
      </c>
      <c r="F38" s="27" t="n">
        <f aca="false">F37+E38</f>
        <v>4536317</v>
      </c>
    </row>
    <row r="39" customFormat="false" ht="15" hidden="false" customHeight="false" outlineLevel="0" collapsed="false">
      <c r="B39" s="39" t="s">
        <v>117</v>
      </c>
      <c r="C39" s="79" t="n">
        <f aca="false">23_Monthly_PnL!I39-23_Monthly_PnL!J39</f>
        <v>769415</v>
      </c>
      <c r="D39" s="27" t="n">
        <v>196800</v>
      </c>
      <c r="E39" s="27" t="n">
        <f aca="false">C39-D39</f>
        <v>572615</v>
      </c>
      <c r="F39" s="27" t="n">
        <f aca="false">F38+E39</f>
        <v>5108932</v>
      </c>
    </row>
    <row r="40" customFormat="false" ht="15" hidden="false" customHeight="false" outlineLevel="0" collapsed="false">
      <c r="B40" s="39" t="s">
        <v>118</v>
      </c>
      <c r="C40" s="79" t="n">
        <f aca="false">23_Monthly_PnL!I40-23_Monthly_PnL!J40</f>
        <v>841988</v>
      </c>
      <c r="D40" s="27" t="n">
        <v>0</v>
      </c>
      <c r="E40" s="27" t="n">
        <f aca="false">C40-D40</f>
        <v>841988</v>
      </c>
      <c r="F40" s="27" t="n">
        <f aca="false">F39+E40</f>
        <v>5950920</v>
      </c>
    </row>
    <row r="41" customFormat="false" ht="15" hidden="false" customHeight="false" outlineLevel="0" collapsed="false">
      <c r="B41" s="39" t="s">
        <v>119</v>
      </c>
      <c r="C41" s="79" t="n">
        <f aca="false">23_Monthly_PnL!I41-23_Monthly_PnL!J41</f>
        <v>919919</v>
      </c>
      <c r="D41" s="27" t="n">
        <v>196800</v>
      </c>
      <c r="E41" s="27" t="n">
        <f aca="false">C41-D41</f>
        <v>723119</v>
      </c>
      <c r="F41" s="27" t="n">
        <f aca="false">F40+E41</f>
        <v>6674039</v>
      </c>
    </row>
    <row r="42" customFormat="false" ht="15" hidden="false" customHeight="false" outlineLevel="0" collapsed="false">
      <c r="B42" s="39" t="s">
        <v>120</v>
      </c>
      <c r="C42" s="79" t="n">
        <f aca="false">23_Monthly_PnL!I42-23_Monthly_PnL!J42</f>
        <v>1002949</v>
      </c>
      <c r="D42" s="27" t="n">
        <v>0</v>
      </c>
      <c r="E42" s="27" t="n">
        <f aca="false">C42-D42</f>
        <v>1002949</v>
      </c>
      <c r="F42" s="27" t="n">
        <f aca="false">F41+E42</f>
        <v>7676988</v>
      </c>
    </row>
    <row r="43" customFormat="false" ht="15" hidden="false" customHeight="false" outlineLevel="0" collapsed="false">
      <c r="B43" s="39" t="s">
        <v>121</v>
      </c>
      <c r="C43" s="79" t="n">
        <f aca="false">23_Monthly_PnL!I43-23_Monthly_PnL!J43</f>
        <v>1090154</v>
      </c>
      <c r="D43" s="27" t="n">
        <v>196800</v>
      </c>
      <c r="E43" s="27" t="n">
        <f aca="false">C43-D43</f>
        <v>893354</v>
      </c>
      <c r="F43" s="27" t="n">
        <f aca="false">F42+E43</f>
        <v>8570342</v>
      </c>
    </row>
    <row r="44" customFormat="false" ht="15" hidden="false" customHeight="false" outlineLevel="0" collapsed="false">
      <c r="B44" s="39" t="s">
        <v>122</v>
      </c>
      <c r="C44" s="79" t="n">
        <f aca="false">23_Monthly_PnL!I44-23_Monthly_PnL!J44</f>
        <v>1184135</v>
      </c>
      <c r="D44" s="27" t="n">
        <v>0</v>
      </c>
      <c r="E44" s="27" t="n">
        <f aca="false">C44-D44</f>
        <v>1184135</v>
      </c>
      <c r="F44" s="27" t="n">
        <f aca="false">F43+E44</f>
        <v>9754477</v>
      </c>
    </row>
    <row r="46" customFormat="false" ht="15" hidden="false" customHeight="false" outlineLevel="0" collapsed="false">
      <c r="B46" s="39" t="s">
        <v>809</v>
      </c>
      <c r="C46" s="27" t="n">
        <f aca="false">MIN(F9:F44)</f>
        <v>196943</v>
      </c>
    </row>
    <row r="47" customFormat="false" ht="15" hidden="false" customHeight="true" outlineLevel="0" collapsed="false">
      <c r="B47" s="34" t="s">
        <v>810</v>
      </c>
      <c r="C47" s="34"/>
      <c r="D47" s="34"/>
      <c r="E47" s="34"/>
      <c r="F47" s="34"/>
    </row>
    <row r="48" customFormat="false" ht="15" hidden="false" customHeight="false" outlineLevel="0" collapsed="false">
      <c r="B48" s="34"/>
      <c r="C48" s="34"/>
      <c r="D48" s="34"/>
      <c r="E48" s="34"/>
      <c r="F48" s="34"/>
    </row>
  </sheetData>
  <mergeCells count="1">
    <mergeCell ref="B47:F48"/>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52435"/>
    <pageSetUpPr fitToPage="false"/>
  </sheetPr>
  <dimension ref="B2:H2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2" min="2" style="0" width="38"/>
    <col collapsed="false" customWidth="true" hidden="false" outlineLevel="0" max="5" min="3" style="0" width="15"/>
  </cols>
  <sheetData>
    <row r="2" customFormat="false" ht="24" hidden="false" customHeight="true" outlineLevel="0" collapsed="false">
      <c r="E2" s="11" t="s">
        <v>811</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812</v>
      </c>
    </row>
    <row r="6" customFormat="false" ht="15" hidden="false" customHeight="false" outlineLevel="0" collapsed="false">
      <c r="B6" s="15" t="s">
        <v>813</v>
      </c>
    </row>
    <row r="8" customFormat="false" ht="19.5" hidden="false" customHeight="true" outlineLevel="0" collapsed="false">
      <c r="B8" s="41" t="s">
        <v>83</v>
      </c>
      <c r="C8" s="41" t="s">
        <v>86</v>
      </c>
      <c r="D8" s="41" t="s">
        <v>87</v>
      </c>
      <c r="E8" s="41" t="s">
        <v>88</v>
      </c>
    </row>
    <row r="9" customFormat="false" ht="15" hidden="false" customHeight="false" outlineLevel="0" collapsed="false">
      <c r="B9" s="16" t="s">
        <v>814</v>
      </c>
    </row>
    <row r="10" customFormat="false" ht="15" hidden="false" customHeight="false" outlineLevel="0" collapsed="false">
      <c r="B10" s="42" t="s">
        <v>815</v>
      </c>
      <c r="C10" s="80" t="n">
        <f aca="false">24_Cash_Flow!F20</f>
        <v>315195</v>
      </c>
      <c r="D10" s="80" t="n">
        <f aca="false">24_Cash_Flow!F32</f>
        <v>1781754</v>
      </c>
      <c r="E10" s="80" t="n">
        <f aca="false">24_Cash_Flow!F44</f>
        <v>9754477</v>
      </c>
    </row>
    <row r="11" customFormat="false" ht="15" hidden="false" customHeight="false" outlineLevel="0" collapsed="false">
      <c r="B11" s="42" t="s">
        <v>816</v>
      </c>
      <c r="C11" s="65" t="n">
        <v>865600</v>
      </c>
      <c r="D11" s="65" t="n">
        <v>2046400</v>
      </c>
      <c r="E11" s="65" t="n">
        <v>3227200</v>
      </c>
    </row>
    <row r="12" customFormat="false" ht="15" hidden="false" customHeight="false" outlineLevel="0" collapsed="false">
      <c r="B12" s="42" t="s">
        <v>817</v>
      </c>
      <c r="C12" s="65" t="n">
        <v>0</v>
      </c>
      <c r="D12" s="65" t="n">
        <v>0</v>
      </c>
      <c r="E12" s="65" t="n">
        <v>0</v>
      </c>
    </row>
    <row r="13" customFormat="false" ht="15" hidden="false" customHeight="false" outlineLevel="0" collapsed="false">
      <c r="B13" s="42" t="s">
        <v>818</v>
      </c>
      <c r="C13" s="65" t="n">
        <v>0</v>
      </c>
      <c r="D13" s="65" t="n">
        <v>0</v>
      </c>
      <c r="E13" s="65" t="n">
        <v>0</v>
      </c>
    </row>
    <row r="14" customFormat="false" ht="15" hidden="false" customHeight="false" outlineLevel="0" collapsed="false">
      <c r="B14" s="81" t="s">
        <v>819</v>
      </c>
      <c r="C14" s="82" t="n">
        <f aca="false">SUM(C10:C13)</f>
        <v>1180795</v>
      </c>
      <c r="D14" s="82" t="n">
        <f aca="false">SUM(D10:D13)</f>
        <v>3828154</v>
      </c>
      <c r="E14" s="82" t="n">
        <f aca="false">SUM(E10:E13)</f>
        <v>12981677</v>
      </c>
    </row>
    <row r="15" customFormat="false" ht="15" hidden="false" customHeight="false" outlineLevel="0" collapsed="false">
      <c r="B15" s="16" t="s">
        <v>820</v>
      </c>
    </row>
    <row r="16" customFormat="false" ht="15" hidden="false" customHeight="false" outlineLevel="0" collapsed="false">
      <c r="B16" s="42" t="s">
        <v>821</v>
      </c>
      <c r="C16" s="65" t="n">
        <v>2000000</v>
      </c>
      <c r="D16" s="65" t="n">
        <v>2000000</v>
      </c>
      <c r="E16" s="65" t="n">
        <v>2000000</v>
      </c>
    </row>
    <row r="17" customFormat="false" ht="15" hidden="false" customHeight="false" outlineLevel="0" collapsed="false">
      <c r="B17" s="42" t="s">
        <v>822</v>
      </c>
      <c r="C17" s="65" t="n">
        <v>-819205</v>
      </c>
      <c r="D17" s="65" t="n">
        <v>1828154</v>
      </c>
      <c r="E17" s="65" t="n">
        <v>10981677</v>
      </c>
    </row>
    <row r="18" customFormat="false" ht="15" hidden="false" customHeight="false" outlineLevel="0" collapsed="false">
      <c r="B18" s="42" t="s">
        <v>823</v>
      </c>
      <c r="C18" s="65" t="n">
        <v>0</v>
      </c>
      <c r="D18" s="65" t="n">
        <v>0</v>
      </c>
      <c r="E18" s="65" t="n">
        <v>0</v>
      </c>
    </row>
    <row r="19" customFormat="false" ht="15" hidden="false" customHeight="false" outlineLevel="0" collapsed="false">
      <c r="B19" s="81" t="s">
        <v>824</v>
      </c>
      <c r="C19" s="82" t="n">
        <f aca="false">SUM(C16:C18)</f>
        <v>1180795</v>
      </c>
      <c r="D19" s="82" t="n">
        <f aca="false">SUM(D16:D18)</f>
        <v>3828154</v>
      </c>
      <c r="E19" s="82" t="n">
        <f aca="false">SUM(E16:E18)</f>
        <v>12981677</v>
      </c>
    </row>
    <row r="21" customFormat="false" ht="15" hidden="false" customHeight="false" outlineLevel="0" collapsed="false">
      <c r="B21" s="39" t="s">
        <v>825</v>
      </c>
      <c r="C21" s="27" t="n">
        <f aca="false">C14-C19</f>
        <v>0</v>
      </c>
      <c r="D21" s="27" t="n">
        <f aca="false">D14-D19</f>
        <v>0</v>
      </c>
      <c r="E21" s="27" t="n">
        <f aca="false">E14-E19</f>
        <v>0</v>
      </c>
    </row>
    <row r="23" customFormat="false" ht="15" hidden="false" customHeight="true" outlineLevel="0" collapsed="false">
      <c r="B23" s="34" t="s">
        <v>826</v>
      </c>
      <c r="C23" s="34"/>
      <c r="D23" s="34"/>
      <c r="E23" s="34"/>
    </row>
    <row r="24" customFormat="false" ht="15" hidden="false" customHeight="false" outlineLevel="0" collapsed="false">
      <c r="B24" s="34"/>
      <c r="C24" s="34"/>
      <c r="D24" s="34"/>
      <c r="E24" s="34"/>
    </row>
  </sheetData>
  <mergeCells count="1">
    <mergeCell ref="B23:E24"/>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AEC6"/>
    <pageSetUpPr fitToPage="false"/>
  </sheetPr>
  <dimension ref="B2:AO21"/>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2" min="2" style="0" width="40"/>
    <col collapsed="false" customWidth="true" hidden="false" outlineLevel="0" max="3" min="3" style="0" width="14"/>
    <col collapsed="false" customWidth="true" hidden="false" outlineLevel="0" max="4" min="4" style="0" width="44"/>
    <col collapsed="false" customWidth="true" hidden="false" outlineLevel="0" max="41" min="6" style="0" width="3"/>
  </cols>
  <sheetData>
    <row r="2" customFormat="false" ht="24" hidden="false" customHeight="true" outlineLevel="0" collapsed="false">
      <c r="E2" s="11" t="s">
        <v>827</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828</v>
      </c>
    </row>
    <row r="6" customFormat="false" ht="15" hidden="false" customHeight="false" outlineLevel="0" collapsed="false">
      <c r="B6" s="15" t="s">
        <v>829</v>
      </c>
    </row>
    <row r="8" customFormat="false" ht="19.5" hidden="false" customHeight="true" outlineLevel="0" collapsed="false">
      <c r="B8" s="41" t="s">
        <v>610</v>
      </c>
      <c r="C8" s="41" t="s">
        <v>830</v>
      </c>
      <c r="D8" s="41" t="s">
        <v>831</v>
      </c>
    </row>
    <row r="9" customFormat="false" ht="15" hidden="false" customHeight="false" outlineLevel="0" collapsed="false">
      <c r="B9" s="42" t="s">
        <v>832</v>
      </c>
      <c r="C9" s="81" t="s">
        <v>833</v>
      </c>
      <c r="D9" s="72" t="s">
        <v>834</v>
      </c>
    </row>
    <row r="10" customFormat="false" ht="15" hidden="false" customHeight="false" outlineLevel="0" collapsed="false">
      <c r="B10" s="42" t="s">
        <v>835</v>
      </c>
      <c r="C10" s="81" t="s">
        <v>836</v>
      </c>
      <c r="D10" s="72" t="s">
        <v>837</v>
      </c>
    </row>
    <row r="11" customFormat="false" ht="15" hidden="false" customHeight="false" outlineLevel="0" collapsed="false">
      <c r="B11" s="42" t="s">
        <v>838</v>
      </c>
      <c r="C11" s="81" t="s">
        <v>67</v>
      </c>
      <c r="D11" s="72" t="s">
        <v>839</v>
      </c>
    </row>
    <row r="12" customFormat="false" ht="15" hidden="false" customHeight="false" outlineLevel="0" collapsed="false">
      <c r="B12" s="42" t="s">
        <v>840</v>
      </c>
      <c r="C12" s="81" t="s">
        <v>841</v>
      </c>
      <c r="D12" s="72" t="s">
        <v>842</v>
      </c>
    </row>
    <row r="13" customFormat="false" ht="15" hidden="false" customHeight="false" outlineLevel="0" collapsed="false">
      <c r="B13" s="42" t="s">
        <v>843</v>
      </c>
      <c r="C13" s="81" t="s">
        <v>105</v>
      </c>
      <c r="D13" s="72" t="s">
        <v>844</v>
      </c>
    </row>
    <row r="14" customFormat="false" ht="15" hidden="false" customHeight="false" outlineLevel="0" collapsed="false">
      <c r="B14" s="42" t="s">
        <v>845</v>
      </c>
      <c r="C14" s="81" t="s">
        <v>100</v>
      </c>
      <c r="D14" s="72" t="s">
        <v>846</v>
      </c>
    </row>
    <row r="15" customFormat="false" ht="15" hidden="false" customHeight="false" outlineLevel="0" collapsed="false">
      <c r="B15" s="42" t="s">
        <v>847</v>
      </c>
      <c r="C15" s="81" t="s">
        <v>68</v>
      </c>
      <c r="D15" s="72" t="s">
        <v>848</v>
      </c>
    </row>
    <row r="16" customFormat="false" ht="15" hidden="false" customHeight="false" outlineLevel="0" collapsed="false">
      <c r="B16" s="42" t="s">
        <v>849</v>
      </c>
      <c r="C16" s="81" t="s">
        <v>317</v>
      </c>
      <c r="D16" s="72" t="s">
        <v>850</v>
      </c>
    </row>
    <row r="18" customFormat="false" ht="19.5" hidden="false" customHeight="true" outlineLevel="0" collapsed="false">
      <c r="B18" s="21" t="s">
        <v>851</v>
      </c>
      <c r="C18" s="21"/>
      <c r="D18" s="21"/>
      <c r="E18" s="21"/>
      <c r="F18" s="21"/>
      <c r="G18" s="21"/>
      <c r="H18" s="21"/>
      <c r="I18" s="21"/>
      <c r="J18" s="21"/>
      <c r="K18" s="21"/>
      <c r="L18" s="21"/>
      <c r="M18" s="21"/>
      <c r="N18" s="21"/>
    </row>
    <row r="19" customFormat="false" ht="15" hidden="false" customHeight="false" outlineLevel="0" collapsed="false">
      <c r="E19" s="15" t="s">
        <v>90</v>
      </c>
      <c r="F19" s="73" t="n">
        <v>1</v>
      </c>
      <c r="G19" s="73" t="n">
        <v>2</v>
      </c>
      <c r="H19" s="73" t="n">
        <v>3</v>
      </c>
      <c r="I19" s="73" t="n">
        <v>4</v>
      </c>
      <c r="J19" s="73" t="n">
        <v>5</v>
      </c>
      <c r="K19" s="73" t="n">
        <v>6</v>
      </c>
      <c r="L19" s="73" t="n">
        <v>7</v>
      </c>
      <c r="M19" s="73" t="n">
        <v>8</v>
      </c>
      <c r="N19" s="73" t="n">
        <v>9</v>
      </c>
      <c r="O19" s="73" t="n">
        <v>10</v>
      </c>
      <c r="P19" s="73" t="n">
        <v>11</v>
      </c>
      <c r="Q19" s="73" t="n">
        <v>12</v>
      </c>
      <c r="R19" s="73" t="n">
        <v>13</v>
      </c>
      <c r="S19" s="73" t="n">
        <v>14</v>
      </c>
      <c r="T19" s="73" t="n">
        <v>15</v>
      </c>
      <c r="U19" s="73" t="n">
        <v>16</v>
      </c>
      <c r="V19" s="73" t="n">
        <v>17</v>
      </c>
      <c r="W19" s="73" t="n">
        <v>18</v>
      </c>
      <c r="X19" s="73" t="n">
        <v>19</v>
      </c>
      <c r="Y19" s="73" t="n">
        <v>20</v>
      </c>
      <c r="Z19" s="73" t="n">
        <v>21</v>
      </c>
      <c r="AA19" s="73" t="n">
        <v>22</v>
      </c>
      <c r="AB19" s="73" t="n">
        <v>23</v>
      </c>
      <c r="AC19" s="73" t="n">
        <v>24</v>
      </c>
      <c r="AD19" s="73" t="n">
        <v>25</v>
      </c>
      <c r="AE19" s="73" t="n">
        <v>26</v>
      </c>
      <c r="AF19" s="73" t="n">
        <v>27</v>
      </c>
      <c r="AG19" s="73" t="n">
        <v>28</v>
      </c>
      <c r="AH19" s="73" t="n">
        <v>29</v>
      </c>
      <c r="AI19" s="73" t="n">
        <v>30</v>
      </c>
      <c r="AJ19" s="73" t="n">
        <v>31</v>
      </c>
      <c r="AK19" s="73" t="n">
        <v>32</v>
      </c>
      <c r="AL19" s="73" t="n">
        <v>33</v>
      </c>
      <c r="AM19" s="73" t="n">
        <v>34</v>
      </c>
      <c r="AN19" s="73" t="n">
        <v>35</v>
      </c>
      <c r="AO19" s="73" t="n">
        <v>36</v>
      </c>
    </row>
    <row r="20" customFormat="false" ht="15" hidden="false" customHeight="false" outlineLevel="0" collapsed="false">
      <c r="F20" s="83"/>
      <c r="G20" s="83"/>
      <c r="H20" s="83"/>
      <c r="I20" s="83"/>
      <c r="J20" s="83"/>
      <c r="K20" s="83"/>
      <c r="L20" s="83"/>
      <c r="M20" s="83"/>
      <c r="N20" s="83"/>
      <c r="O20" s="83"/>
      <c r="P20" s="1"/>
      <c r="Q20" s="1"/>
      <c r="R20" s="84"/>
      <c r="S20" s="84"/>
      <c r="T20" s="84"/>
      <c r="U20" s="84"/>
      <c r="V20" s="84"/>
      <c r="W20" s="1"/>
      <c r="X20" s="84"/>
      <c r="Y20" s="84"/>
      <c r="Z20" s="84"/>
      <c r="AA20" s="84"/>
      <c r="AB20" s="84"/>
      <c r="AC20" s="84"/>
      <c r="AD20" s="84"/>
      <c r="AE20" s="84"/>
      <c r="AF20" s="84"/>
      <c r="AG20" s="84"/>
      <c r="AH20" s="84"/>
      <c r="AI20" s="1"/>
      <c r="AJ20" s="84"/>
      <c r="AK20" s="84"/>
      <c r="AL20" s="84"/>
      <c r="AM20" s="84"/>
      <c r="AN20" s="84"/>
      <c r="AO20" s="84"/>
    </row>
    <row r="21" customFormat="false" ht="51.75" hidden="false" customHeight="true" outlineLevel="0" collapsed="false">
      <c r="P21" s="85" t="s">
        <v>790</v>
      </c>
      <c r="Q21" s="85" t="s">
        <v>852</v>
      </c>
      <c r="W21" s="85" t="s">
        <v>853</v>
      </c>
      <c r="AI21" s="85" t="s">
        <v>854</v>
      </c>
    </row>
  </sheetData>
  <mergeCells count="1">
    <mergeCell ref="B18:N18"/>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AEC6"/>
    <pageSetUpPr fitToPage="false"/>
  </sheetPr>
  <dimension ref="B2:H20"/>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1" ySplit="8" topLeftCell="B9" activePane="bottomRight" state="frozen"/>
      <selection pane="topLeft" activeCell="A1" activeCellId="0" sqref="A1"/>
      <selection pane="topRight" activeCell="B1" activeCellId="0" sqref="B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2" min="2" style="0" width="30"/>
    <col collapsed="false" customWidth="true" hidden="false" outlineLevel="0" max="5" min="3" style="0" width="15"/>
  </cols>
  <sheetData>
    <row r="2" customFormat="false" ht="24" hidden="false" customHeight="true" outlineLevel="0" collapsed="false">
      <c r="E2" s="11" t="s">
        <v>855</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856</v>
      </c>
    </row>
    <row r="6" customFormat="false" ht="15" hidden="false" customHeight="false" outlineLevel="0" collapsed="false">
      <c r="B6" s="15" t="s">
        <v>857</v>
      </c>
    </row>
    <row r="8" customFormat="false" ht="19.5" hidden="false" customHeight="true" outlineLevel="0" collapsed="false">
      <c r="B8" s="41" t="s">
        <v>610</v>
      </c>
      <c r="C8" s="41" t="s">
        <v>128</v>
      </c>
      <c r="D8" s="41" t="s">
        <v>129</v>
      </c>
      <c r="E8" s="41" t="s">
        <v>130</v>
      </c>
    </row>
    <row r="9" customFormat="false" ht="15" hidden="false" customHeight="false" outlineLevel="0" collapsed="false">
      <c r="B9" s="42" t="s">
        <v>858</v>
      </c>
      <c r="C9" s="86" t="n">
        <v>22258457</v>
      </c>
      <c r="D9" s="86" t="n">
        <v>32001019</v>
      </c>
      <c r="E9" s="86" t="n">
        <v>42886584</v>
      </c>
    </row>
    <row r="10" customFormat="false" ht="15" hidden="false" customHeight="false" outlineLevel="0" collapsed="false">
      <c r="B10" s="42" t="s">
        <v>859</v>
      </c>
      <c r="C10" s="86" t="n">
        <v>-1243810</v>
      </c>
      <c r="D10" s="86" t="n">
        <v>-819205</v>
      </c>
      <c r="E10" s="86" t="n">
        <v>-382907</v>
      </c>
    </row>
    <row r="11" customFormat="false" ht="15" hidden="false" customHeight="false" outlineLevel="0" collapsed="false">
      <c r="B11" s="42" t="s">
        <v>860</v>
      </c>
      <c r="C11" s="86" t="n">
        <v>1325805</v>
      </c>
      <c r="D11" s="86" t="n">
        <v>3162992</v>
      </c>
      <c r="E11" s="86" t="n">
        <v>5116839</v>
      </c>
    </row>
    <row r="12" customFormat="false" ht="15" hidden="false" customHeight="false" outlineLevel="0" collapsed="false">
      <c r="B12" s="42" t="s">
        <v>861</v>
      </c>
      <c r="C12" s="86" t="n">
        <v>6899838</v>
      </c>
      <c r="D12" s="86" t="n">
        <v>11735288</v>
      </c>
      <c r="E12" s="86" t="n">
        <v>16855835</v>
      </c>
    </row>
    <row r="13" customFormat="false" ht="15" hidden="false" customHeight="false" outlineLevel="0" collapsed="false">
      <c r="B13" s="42" t="s">
        <v>862</v>
      </c>
      <c r="C13" s="42" t="s">
        <v>863</v>
      </c>
      <c r="D13" s="42" t="s">
        <v>864</v>
      </c>
      <c r="E13" s="42" t="s">
        <v>865</v>
      </c>
    </row>
    <row r="14" customFormat="false" ht="15" hidden="false" customHeight="false" outlineLevel="0" collapsed="false">
      <c r="B14" s="42" t="s">
        <v>866</v>
      </c>
      <c r="C14" s="42" t="s">
        <v>319</v>
      </c>
      <c r="D14" s="86" t="n">
        <v>197</v>
      </c>
      <c r="E14" s="42" t="s">
        <v>319</v>
      </c>
    </row>
    <row r="15" customFormat="false" ht="15" hidden="false" customHeight="false" outlineLevel="0" collapsed="false">
      <c r="B15" s="42" t="s">
        <v>210</v>
      </c>
      <c r="C15" s="86" t="n">
        <v>645</v>
      </c>
      <c r="D15" s="86" t="n">
        <v>0</v>
      </c>
      <c r="E15" s="86" t="n">
        <v>0</v>
      </c>
    </row>
    <row r="16" customFormat="false" ht="15" hidden="false" customHeight="false" outlineLevel="0" collapsed="false">
      <c r="B16" s="42" t="s">
        <v>209</v>
      </c>
      <c r="C16" s="42" t="s">
        <v>101</v>
      </c>
      <c r="D16" s="42" t="s">
        <v>67</v>
      </c>
      <c r="E16" s="42" t="s">
        <v>98</v>
      </c>
    </row>
    <row r="17" customFormat="false" ht="15" hidden="false" customHeight="false" outlineLevel="0" collapsed="false">
      <c r="B17" s="42" t="s">
        <v>867</v>
      </c>
      <c r="C17" s="42" t="s">
        <v>868</v>
      </c>
      <c r="D17" s="42" t="s">
        <v>68</v>
      </c>
      <c r="E17" s="42" t="s">
        <v>869</v>
      </c>
    </row>
    <row r="18" customFormat="false" ht="15" hidden="false" customHeight="false" outlineLevel="0" collapsed="false">
      <c r="B18" s="42" t="s">
        <v>870</v>
      </c>
      <c r="C18" s="86" t="n">
        <v>4391</v>
      </c>
      <c r="D18" s="86" t="n">
        <v>6273</v>
      </c>
      <c r="E18" s="86" t="n">
        <v>8469</v>
      </c>
    </row>
    <row r="19" customFormat="false" ht="15" hidden="false" customHeight="false" outlineLevel="0" collapsed="false">
      <c r="B19" s="42" t="s">
        <v>871</v>
      </c>
      <c r="C19" s="86" t="n">
        <v>126</v>
      </c>
      <c r="D19" s="86" t="n">
        <v>180</v>
      </c>
      <c r="E19" s="86" t="n">
        <v>243</v>
      </c>
    </row>
    <row r="20" customFormat="false" ht="15" hidden="false" customHeight="false" outlineLevel="0" collapsed="false">
      <c r="B20" s="42" t="s">
        <v>872</v>
      </c>
      <c r="C20" s="86" t="n">
        <v>630</v>
      </c>
      <c r="D20" s="86" t="n">
        <v>900</v>
      </c>
      <c r="E20" s="86" t="n">
        <v>900</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E7FA6"/>
    <pageSetUpPr fitToPage="false"/>
  </sheetPr>
  <dimension ref="B2:S120"/>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B2" activeCellId="0" sqref="B2"/>
    </sheetView>
  </sheetViews>
  <sheetFormatPr defaultColWidth="8.6796875" defaultRowHeight="15" zeroHeight="false" outlineLevelRow="0" outlineLevelCol="0"/>
  <cols>
    <col collapsed="false" customWidth="true" hidden="false" outlineLevel="0" max="8" min="2" style="0" width="19"/>
    <col collapsed="false" customWidth="true" hidden="false" outlineLevel="0" max="14" min="9" style="0" width="4"/>
    <col collapsed="false" customWidth="true" hidden="false" outlineLevel="0" max="16" min="16" style="0" width="10"/>
  </cols>
  <sheetData>
    <row r="2" customFormat="false" ht="24" hidden="false" customHeight="true" outlineLevel="0" collapsed="false">
      <c r="E2" s="11" t="s">
        <v>53</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54</v>
      </c>
    </row>
    <row r="6" customFormat="false" ht="15" hidden="false" customHeight="false" outlineLevel="0" collapsed="false">
      <c r="B6" s="15" t="s">
        <v>55</v>
      </c>
    </row>
    <row r="8" customFormat="false" ht="16.15" hidden="false" customHeight="false" outlineLevel="0" collapsed="false">
      <c r="B8" s="18" t="s">
        <v>56</v>
      </c>
      <c r="D8" s="19" t="str">
        <f aca="false">32_Model_Checks!C27</f>
        <v>OK</v>
      </c>
      <c r="E8" s="20" t="s">
        <v>57</v>
      </c>
      <c r="F8" s="20"/>
      <c r="G8" s="20"/>
    </row>
    <row r="10" customFormat="false" ht="19.5" hidden="false" customHeight="true" outlineLevel="0" collapsed="false">
      <c r="B10" s="21" t="s">
        <v>58</v>
      </c>
      <c r="C10" s="21"/>
      <c r="D10" s="21"/>
      <c r="E10" s="21"/>
      <c r="F10" s="21"/>
      <c r="G10" s="21"/>
    </row>
    <row r="11" customFormat="false" ht="15" hidden="false" customHeight="false" outlineLevel="0" collapsed="false">
      <c r="B11" s="22" t="s">
        <v>59</v>
      </c>
      <c r="C11" s="22" t="s">
        <v>60</v>
      </c>
      <c r="D11" s="22" t="s">
        <v>61</v>
      </c>
      <c r="E11" s="22" t="s">
        <v>62</v>
      </c>
      <c r="F11" s="22" t="s">
        <v>63</v>
      </c>
      <c r="G11" s="22" t="s">
        <v>64</v>
      </c>
    </row>
    <row r="12" customFormat="false" ht="16.15" hidden="false" customHeight="false" outlineLevel="0" collapsed="false">
      <c r="B12" s="23" t="s">
        <v>65</v>
      </c>
      <c r="C12" s="23" t="s">
        <v>66</v>
      </c>
      <c r="D12" s="24" t="n">
        <v>196943</v>
      </c>
      <c r="E12" s="23" t="s">
        <v>67</v>
      </c>
      <c r="F12" s="23" t="s">
        <v>68</v>
      </c>
      <c r="G12" s="23" t="s">
        <v>69</v>
      </c>
    </row>
    <row r="13" customFormat="false" ht="15" hidden="false" customHeight="false" outlineLevel="0" collapsed="false">
      <c r="B13" s="25" t="s">
        <v>70</v>
      </c>
      <c r="C13" s="25" t="s">
        <v>71</v>
      </c>
      <c r="D13" s="25" t="s">
        <v>72</v>
      </c>
      <c r="E13" s="25" t="s">
        <v>73</v>
      </c>
      <c r="F13" s="25" t="s">
        <v>74</v>
      </c>
      <c r="G13" s="25" t="s">
        <v>75</v>
      </c>
    </row>
    <row r="15" customFormat="false" ht="19.5" hidden="false" customHeight="true" outlineLevel="0" collapsed="false">
      <c r="B15" s="21" t="s">
        <v>76</v>
      </c>
      <c r="C15" s="21"/>
      <c r="D15" s="21"/>
      <c r="E15" s="21"/>
      <c r="F15" s="21"/>
      <c r="G15" s="21"/>
    </row>
    <row r="16" customFormat="false" ht="15" hidden="false" customHeight="false" outlineLevel="0" collapsed="false">
      <c r="B16" s="22" t="s">
        <v>77</v>
      </c>
      <c r="C16" s="22" t="s">
        <v>78</v>
      </c>
      <c r="D16" s="22" t="s">
        <v>79</v>
      </c>
      <c r="E16" s="22" t="s">
        <v>80</v>
      </c>
      <c r="F16" s="22" t="s">
        <v>81</v>
      </c>
      <c r="G16" s="22" t="s">
        <v>82</v>
      </c>
    </row>
    <row r="17" customFormat="false" ht="16.15" hidden="false" customHeight="false" outlineLevel="0" collapsed="false">
      <c r="B17" s="24" t="n">
        <v>2088788</v>
      </c>
      <c r="C17" s="24" t="n">
        <v>32001019</v>
      </c>
      <c r="D17" s="26" t="n">
        <v>0.68</v>
      </c>
      <c r="E17" s="26" t="n">
        <v>0.476</v>
      </c>
      <c r="F17" s="24" t="n">
        <v>6273</v>
      </c>
      <c r="G17" s="24" t="n">
        <v>180</v>
      </c>
    </row>
    <row r="18" customFormat="false" ht="15" hidden="false" customHeight="false" outlineLevel="0" collapsed="false">
      <c r="B18" s="25" t="s">
        <v>83</v>
      </c>
      <c r="C18" s="25" t="s">
        <v>83</v>
      </c>
      <c r="D18" s="25" t="s">
        <v>84</v>
      </c>
      <c r="E18" s="25" t="s">
        <v>85</v>
      </c>
      <c r="F18" s="25"/>
      <c r="G18" s="25"/>
    </row>
    <row r="60" customFormat="false" ht="15" hidden="false" customHeight="false" outlineLevel="0" collapsed="false">
      <c r="P60" s="0" t="s">
        <v>86</v>
      </c>
      <c r="Q60" s="0" t="n">
        <f aca="false">SUM(23_Monthly_PnL!C9:C20)</f>
        <v>2088788</v>
      </c>
    </row>
    <row r="61" customFormat="false" ht="15" hidden="false" customHeight="false" outlineLevel="0" collapsed="false">
      <c r="P61" s="0" t="s">
        <v>87</v>
      </c>
      <c r="Q61" s="0" t="n">
        <f aca="false">SUM(23_Monthly_PnL!C21:C32)</f>
        <v>11557379</v>
      </c>
    </row>
    <row r="62" customFormat="false" ht="15" hidden="false" customHeight="false" outlineLevel="0" collapsed="false">
      <c r="P62" s="0" t="s">
        <v>88</v>
      </c>
      <c r="Q62" s="0" t="n">
        <f aca="false">SUM(23_Monthly_PnL!C33:C44)</f>
        <v>32001019</v>
      </c>
    </row>
    <row r="66" customFormat="false" ht="15" hidden="false" customHeight="false" outlineLevel="0" collapsed="false">
      <c r="B66" s="15" t="s">
        <v>89</v>
      </c>
    </row>
    <row r="70" customFormat="false" ht="15" hidden="false" customHeight="false" outlineLevel="0" collapsed="false">
      <c r="P70" s="0" t="s">
        <v>90</v>
      </c>
      <c r="Q70" s="0" t="n">
        <v>0</v>
      </c>
      <c r="R70" s="0" t="n">
        <v>-253000</v>
      </c>
      <c r="S70" s="27" t="n">
        <f aca="false">24_Cash_Flow!F9</f>
        <v>1511000</v>
      </c>
    </row>
    <row r="71" customFormat="false" ht="15" hidden="false" customHeight="false" outlineLevel="0" collapsed="false">
      <c r="P71" s="0" t="s">
        <v>91</v>
      </c>
      <c r="Q71" s="0" t="n">
        <v>0</v>
      </c>
      <c r="R71" s="0" t="n">
        <v>-118000</v>
      </c>
      <c r="S71" s="27" t="n">
        <f aca="false">24_Cash_Flow!F10</f>
        <v>1393000</v>
      </c>
    </row>
    <row r="72" customFormat="false" ht="15" hidden="false" customHeight="false" outlineLevel="0" collapsed="false">
      <c r="P72" s="0" t="s">
        <v>92</v>
      </c>
      <c r="Q72" s="0" t="n">
        <v>0</v>
      </c>
      <c r="R72" s="0" t="n">
        <v>-88000</v>
      </c>
      <c r="S72" s="27" t="n">
        <f aca="false">24_Cash_Flow!F11</f>
        <v>1305000</v>
      </c>
    </row>
    <row r="73" customFormat="false" ht="15" hidden="false" customHeight="false" outlineLevel="0" collapsed="false">
      <c r="P73" s="0" t="s">
        <v>93</v>
      </c>
      <c r="Q73" s="0" t="n">
        <v>39613</v>
      </c>
      <c r="R73" s="0" t="n">
        <v>-84596</v>
      </c>
      <c r="S73" s="27" t="n">
        <f aca="false">24_Cash_Flow!F12</f>
        <v>1220404</v>
      </c>
    </row>
    <row r="74" customFormat="false" ht="15" hidden="false" customHeight="false" outlineLevel="0" collapsed="false">
      <c r="P74" s="0" t="s">
        <v>94</v>
      </c>
      <c r="Q74" s="0" t="n">
        <v>85114</v>
      </c>
      <c r="R74" s="0" t="n">
        <v>-63898</v>
      </c>
      <c r="S74" s="27" t="n">
        <f aca="false">24_Cash_Flow!F13</f>
        <v>1156506</v>
      </c>
    </row>
    <row r="75" customFormat="false" ht="15" hidden="false" customHeight="false" outlineLevel="0" collapsed="false">
      <c r="P75" s="0" t="s">
        <v>95</v>
      </c>
      <c r="Q75" s="0" t="n">
        <v>130977</v>
      </c>
      <c r="R75" s="0" t="n">
        <v>-74978</v>
      </c>
      <c r="S75" s="27" t="n">
        <f aca="false">24_Cash_Flow!F14</f>
        <v>1081528</v>
      </c>
    </row>
    <row r="76" customFormat="false" ht="15" hidden="false" customHeight="false" outlineLevel="0" collapsed="false">
      <c r="P76" s="0" t="s">
        <v>96</v>
      </c>
      <c r="Q76" s="0" t="n">
        <v>178052</v>
      </c>
      <c r="R76" s="0" t="n">
        <v>-98494</v>
      </c>
      <c r="S76" s="27" t="n">
        <f aca="false">24_Cash_Flow!F15</f>
        <v>747034</v>
      </c>
    </row>
    <row r="77" customFormat="false" ht="15" hidden="false" customHeight="false" outlineLevel="0" collapsed="false">
      <c r="P77" s="0" t="s">
        <v>97</v>
      </c>
      <c r="Q77" s="0" t="n">
        <v>226562</v>
      </c>
      <c r="R77" s="0" t="n">
        <v>-62017</v>
      </c>
      <c r="S77" s="27" t="n">
        <f aca="false">24_Cash_Flow!F16</f>
        <v>685017</v>
      </c>
    </row>
    <row r="78" customFormat="false" ht="15" hidden="false" customHeight="false" outlineLevel="0" collapsed="false">
      <c r="P78" s="0" t="s">
        <v>98</v>
      </c>
      <c r="Q78" s="0" t="n">
        <v>276741</v>
      </c>
      <c r="R78" s="0" t="n">
        <v>-35905</v>
      </c>
      <c r="S78" s="27" t="n">
        <f aca="false">24_Cash_Flow!F17</f>
        <v>452312</v>
      </c>
    </row>
    <row r="79" customFormat="false" ht="15" hidden="false" customHeight="false" outlineLevel="0" collapsed="false">
      <c r="P79" s="0" t="s">
        <v>99</v>
      </c>
      <c r="Q79" s="0" t="n">
        <v>328833</v>
      </c>
      <c r="R79" s="0" t="n">
        <v>-8789</v>
      </c>
      <c r="S79" s="27" t="n">
        <f aca="false">24_Cash_Flow!F18</f>
        <v>443523</v>
      </c>
    </row>
    <row r="80" customFormat="false" ht="15" hidden="false" customHeight="false" outlineLevel="0" collapsed="false">
      <c r="P80" s="0" t="s">
        <v>67</v>
      </c>
      <c r="Q80" s="0" t="n">
        <v>383095</v>
      </c>
      <c r="R80" s="0" t="n">
        <v>19467</v>
      </c>
      <c r="S80" s="27" t="n">
        <f aca="false">24_Cash_Flow!F19</f>
        <v>266190</v>
      </c>
    </row>
    <row r="81" customFormat="false" ht="15" hidden="false" customHeight="false" outlineLevel="0" collapsed="false">
      <c r="P81" s="0" t="s">
        <v>100</v>
      </c>
      <c r="Q81" s="0" t="n">
        <v>439801</v>
      </c>
      <c r="R81" s="0" t="n">
        <v>49005</v>
      </c>
      <c r="S81" s="27" t="n">
        <f aca="false">24_Cash_Flow!F20</f>
        <v>315195</v>
      </c>
    </row>
    <row r="82" customFormat="false" ht="15" hidden="false" customHeight="false" outlineLevel="0" collapsed="false">
      <c r="P82" s="0" t="s">
        <v>72</v>
      </c>
      <c r="Q82" s="0" t="n">
        <v>510934</v>
      </c>
      <c r="R82" s="0" t="n">
        <v>78548</v>
      </c>
      <c r="S82" s="27" t="n">
        <f aca="false">24_Cash_Flow!F21</f>
        <v>196943</v>
      </c>
    </row>
    <row r="83" customFormat="false" ht="15" hidden="false" customHeight="false" outlineLevel="0" collapsed="false">
      <c r="P83" s="0" t="s">
        <v>101</v>
      </c>
      <c r="Q83" s="0" t="n">
        <v>579045</v>
      </c>
      <c r="R83" s="0" t="n">
        <v>112552</v>
      </c>
      <c r="S83" s="27" t="n">
        <f aca="false">24_Cash_Flow!F22</f>
        <v>309495</v>
      </c>
    </row>
    <row r="84" customFormat="false" ht="15" hidden="false" customHeight="false" outlineLevel="0" collapsed="false">
      <c r="P84" s="0" t="s">
        <v>102</v>
      </c>
      <c r="Q84" s="0" t="n">
        <v>650517</v>
      </c>
      <c r="R84" s="0" t="n">
        <v>146278</v>
      </c>
      <c r="S84" s="27" t="n">
        <f aca="false">24_Cash_Flow!F23</f>
        <v>258973</v>
      </c>
    </row>
    <row r="85" customFormat="false" ht="15" hidden="false" customHeight="false" outlineLevel="0" collapsed="false">
      <c r="P85" s="0" t="s">
        <v>103</v>
      </c>
      <c r="Q85" s="0" t="n">
        <v>725695</v>
      </c>
      <c r="R85" s="0" t="n">
        <v>177977</v>
      </c>
      <c r="S85" s="27" t="n">
        <f aca="false">24_Cash_Flow!F24</f>
        <v>436950</v>
      </c>
    </row>
    <row r="86" customFormat="false" ht="15" hidden="false" customHeight="false" outlineLevel="0" collapsed="false">
      <c r="P86" s="0" t="s">
        <v>104</v>
      </c>
      <c r="Q86" s="0" t="n">
        <v>804949</v>
      </c>
      <c r="R86" s="0" t="n">
        <v>211489</v>
      </c>
      <c r="S86" s="27" t="n">
        <f aca="false">24_Cash_Flow!F25</f>
        <v>451639</v>
      </c>
    </row>
    <row r="87" customFormat="false" ht="15" hidden="false" customHeight="false" outlineLevel="0" collapsed="false">
      <c r="P87" s="0" t="s">
        <v>105</v>
      </c>
      <c r="Q87" s="0" t="n">
        <v>888672</v>
      </c>
      <c r="R87" s="0" t="n">
        <v>221989</v>
      </c>
      <c r="S87" s="27" t="n">
        <f aca="false">24_Cash_Flow!F26</f>
        <v>645110</v>
      </c>
    </row>
    <row r="88" customFormat="false" ht="15" hidden="false" customHeight="false" outlineLevel="0" collapsed="false">
      <c r="P88" s="0" t="s">
        <v>106</v>
      </c>
      <c r="Q88" s="0" t="n">
        <v>977285</v>
      </c>
      <c r="R88" s="0" t="n">
        <v>259664</v>
      </c>
      <c r="S88" s="27" t="n">
        <f aca="false">24_Cash_Flow!F27</f>
        <v>650848</v>
      </c>
    </row>
    <row r="89" customFormat="false" ht="15" hidden="false" customHeight="false" outlineLevel="0" collapsed="false">
      <c r="P89" s="0" t="s">
        <v>107</v>
      </c>
      <c r="Q89" s="0" t="n">
        <v>1071241</v>
      </c>
      <c r="R89" s="0" t="n">
        <v>299716</v>
      </c>
      <c r="S89" s="27" t="n">
        <f aca="false">24_Cash_Flow!F28</f>
        <v>884626</v>
      </c>
    </row>
    <row r="90" customFormat="false" ht="15" hidden="false" customHeight="false" outlineLevel="0" collapsed="false">
      <c r="P90" s="0" t="s">
        <v>108</v>
      </c>
      <c r="Q90" s="0" t="n">
        <v>1171021</v>
      </c>
      <c r="R90" s="0" t="n">
        <v>342359</v>
      </c>
      <c r="S90" s="27" t="n">
        <f aca="false">24_Cash_Flow!F29</f>
        <v>954866</v>
      </c>
    </row>
    <row r="91" customFormat="false" ht="15" hidden="false" customHeight="false" outlineLevel="0" collapsed="false">
      <c r="P91" s="0" t="s">
        <v>109</v>
      </c>
      <c r="Q91" s="0" t="n">
        <v>1277146</v>
      </c>
      <c r="R91" s="0" t="n">
        <v>387825</v>
      </c>
      <c r="S91" s="27" t="n">
        <f aca="false">24_Cash_Flow!F30</f>
        <v>1257369</v>
      </c>
    </row>
    <row r="92" customFormat="false" ht="15" hidden="false" customHeight="false" outlineLevel="0" collapsed="false">
      <c r="P92" s="0" t="s">
        <v>110</v>
      </c>
      <c r="Q92" s="0" t="n">
        <v>1390173</v>
      </c>
      <c r="R92" s="0" t="n">
        <v>436361</v>
      </c>
      <c r="S92" s="27" t="n">
        <f aca="false">24_Cash_Flow!F31</f>
        <v>1400931</v>
      </c>
    </row>
    <row r="93" customFormat="false" ht="15" hidden="false" customHeight="false" outlineLevel="0" collapsed="false">
      <c r="P93" s="0" t="s">
        <v>111</v>
      </c>
      <c r="Q93" s="0" t="n">
        <v>1510701</v>
      </c>
      <c r="R93" s="0" t="n">
        <v>488234</v>
      </c>
      <c r="S93" s="27" t="n">
        <f aca="false">24_Cash_Flow!F32</f>
        <v>1781754</v>
      </c>
    </row>
    <row r="94" customFormat="false" ht="15" hidden="false" customHeight="false" outlineLevel="0" collapsed="false">
      <c r="P94" s="0" t="s">
        <v>112</v>
      </c>
      <c r="Q94" s="0" t="n">
        <v>1649051</v>
      </c>
      <c r="R94" s="0" t="n">
        <v>545817</v>
      </c>
      <c r="S94" s="27" t="n">
        <f aca="false">24_Cash_Flow!F33</f>
        <v>2010691</v>
      </c>
    </row>
    <row r="95" customFormat="false" ht="15" hidden="false" customHeight="false" outlineLevel="0" collapsed="false">
      <c r="P95" s="0" t="s">
        <v>113</v>
      </c>
      <c r="Q95" s="0" t="n">
        <v>1796238</v>
      </c>
      <c r="R95" s="0" t="n">
        <v>607331</v>
      </c>
      <c r="S95" s="27" t="n">
        <f aca="false">24_Cash_Flow!F34</f>
        <v>2484409</v>
      </c>
    </row>
    <row r="96" customFormat="false" ht="15" hidden="false" customHeight="false" outlineLevel="0" collapsed="false">
      <c r="P96" s="0" t="s">
        <v>114</v>
      </c>
      <c r="Q96" s="0" t="n">
        <v>1953010</v>
      </c>
      <c r="R96" s="0" t="n">
        <v>673109</v>
      </c>
      <c r="S96" s="27" t="n">
        <f aca="false">24_Cash_Flow!F35</f>
        <v>2812634</v>
      </c>
    </row>
    <row r="97" customFormat="false" ht="15" hidden="false" customHeight="false" outlineLevel="0" collapsed="false">
      <c r="P97" s="0" t="s">
        <v>115</v>
      </c>
      <c r="Q97" s="0" t="n">
        <v>2120168</v>
      </c>
      <c r="R97" s="0" t="n">
        <v>743508</v>
      </c>
      <c r="S97" s="27" t="n">
        <f aca="false">24_Cash_Flow!F36</f>
        <v>3392570</v>
      </c>
    </row>
    <row r="98" customFormat="false" ht="15" hidden="false" customHeight="false" outlineLevel="0" collapsed="false">
      <c r="P98" s="0" t="s">
        <v>116</v>
      </c>
      <c r="Q98" s="0" t="n">
        <v>2298579</v>
      </c>
      <c r="R98" s="0" t="n">
        <v>818913</v>
      </c>
      <c r="S98" s="27" t="n">
        <f aca="false">24_Cash_Flow!F37</f>
        <v>3834522</v>
      </c>
    </row>
    <row r="99" customFormat="false" ht="15" hidden="false" customHeight="false" outlineLevel="0" collapsed="false">
      <c r="P99" s="0" t="s">
        <v>68</v>
      </c>
      <c r="Q99" s="0" t="n">
        <v>2489175</v>
      </c>
      <c r="R99" s="0" t="n">
        <v>899737</v>
      </c>
      <c r="S99" s="27" t="n">
        <f aca="false">24_Cash_Flow!F38</f>
        <v>4536317</v>
      </c>
    </row>
    <row r="100" customFormat="false" ht="15" hidden="false" customHeight="false" outlineLevel="0" collapsed="false">
      <c r="P100" s="0" t="s">
        <v>117</v>
      </c>
      <c r="Q100" s="0" t="n">
        <v>2692960</v>
      </c>
      <c r="R100" s="0" t="n">
        <v>986430</v>
      </c>
      <c r="S100" s="27" t="n">
        <f aca="false">24_Cash_Flow!F39</f>
        <v>5108932</v>
      </c>
    </row>
    <row r="101" customFormat="false" ht="15" hidden="false" customHeight="false" outlineLevel="0" collapsed="false">
      <c r="P101" s="0" t="s">
        <v>118</v>
      </c>
      <c r="Q101" s="0" t="n">
        <v>2911019</v>
      </c>
      <c r="R101" s="0" t="n">
        <v>1079472</v>
      </c>
      <c r="S101" s="27" t="n">
        <f aca="false">24_Cash_Flow!F40</f>
        <v>5950920</v>
      </c>
    </row>
    <row r="102" customFormat="false" ht="15" hidden="false" customHeight="false" outlineLevel="0" collapsed="false">
      <c r="P102" s="0" t="s">
        <v>119</v>
      </c>
      <c r="Q102" s="0" t="n">
        <v>3144521</v>
      </c>
      <c r="R102" s="0" t="n">
        <v>1179384</v>
      </c>
      <c r="S102" s="27" t="n">
        <f aca="false">24_Cash_Flow!F41</f>
        <v>6674039</v>
      </c>
    </row>
    <row r="103" customFormat="false" ht="15" hidden="false" customHeight="false" outlineLevel="0" collapsed="false">
      <c r="P103" s="0" t="s">
        <v>120</v>
      </c>
      <c r="Q103" s="0" t="n">
        <v>3390578</v>
      </c>
      <c r="R103" s="0" t="n">
        <v>1285832</v>
      </c>
      <c r="S103" s="27" t="n">
        <f aca="false">24_Cash_Flow!F42</f>
        <v>7676988</v>
      </c>
    </row>
    <row r="104" customFormat="false" ht="15" hidden="false" customHeight="false" outlineLevel="0" collapsed="false">
      <c r="P104" s="0" t="s">
        <v>121</v>
      </c>
      <c r="Q104" s="0" t="n">
        <v>3642256</v>
      </c>
      <c r="R104" s="0" t="n">
        <v>1397633</v>
      </c>
      <c r="S104" s="27" t="n">
        <f aca="false">24_Cash_Flow!F43</f>
        <v>8570342</v>
      </c>
    </row>
    <row r="105" customFormat="false" ht="15" hidden="false" customHeight="false" outlineLevel="0" collapsed="false">
      <c r="P105" s="0" t="s">
        <v>122</v>
      </c>
      <c r="Q105" s="0" t="n">
        <v>3913464</v>
      </c>
      <c r="R105" s="0" t="n">
        <v>1518122</v>
      </c>
      <c r="S105" s="27" t="n">
        <f aca="false">24_Cash_Flow!F44</f>
        <v>9754477</v>
      </c>
    </row>
    <row r="110" customFormat="false" ht="15" hidden="false" customHeight="false" outlineLevel="0" collapsed="false">
      <c r="P110" s="0" t="s">
        <v>123</v>
      </c>
      <c r="Q110" s="0" t="n">
        <v>34</v>
      </c>
    </row>
    <row r="111" customFormat="false" ht="15" hidden="false" customHeight="false" outlineLevel="0" collapsed="false">
      <c r="P111" s="0" t="s">
        <v>124</v>
      </c>
      <c r="Q111" s="0" t="n">
        <v>18</v>
      </c>
    </row>
    <row r="112" customFormat="false" ht="15" hidden="false" customHeight="false" outlineLevel="0" collapsed="false">
      <c r="P112" s="0" t="s">
        <v>125</v>
      </c>
      <c r="Q112" s="0" t="n">
        <v>26</v>
      </c>
    </row>
    <row r="113" customFormat="false" ht="15" hidden="false" customHeight="false" outlineLevel="0" collapsed="false">
      <c r="P113" s="0" t="s">
        <v>126</v>
      </c>
      <c r="Q113" s="0" t="n">
        <v>17</v>
      </c>
    </row>
    <row r="114" customFormat="false" ht="15" hidden="false" customHeight="false" outlineLevel="0" collapsed="false">
      <c r="P114" s="0" t="s">
        <v>127</v>
      </c>
      <c r="Q114" s="0" t="n">
        <v>5</v>
      </c>
    </row>
    <row r="118" customFormat="false" ht="15" hidden="false" customHeight="false" outlineLevel="0" collapsed="false">
      <c r="P118" s="0" t="s">
        <v>128</v>
      </c>
      <c r="Q118" s="0" t="n">
        <v>6899838</v>
      </c>
    </row>
    <row r="119" customFormat="false" ht="15" hidden="false" customHeight="false" outlineLevel="0" collapsed="false">
      <c r="P119" s="0" t="s">
        <v>129</v>
      </c>
      <c r="Q119" s="0" t="n">
        <v>11735288</v>
      </c>
    </row>
    <row r="120" customFormat="false" ht="15" hidden="false" customHeight="false" outlineLevel="0" collapsed="false">
      <c r="P120" s="0" t="s">
        <v>130</v>
      </c>
      <c r="Q120" s="0" t="n">
        <v>16855835</v>
      </c>
    </row>
  </sheetData>
  <mergeCells count="3">
    <mergeCell ref="E8:G8"/>
    <mergeCell ref="B10:G10"/>
    <mergeCell ref="B15:G15"/>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 ref="B12" r:id="rId5" location="'22_Funding_Use_of_Funds'!B2" display="NOK 2.0m"/>
    <hyperlink ref="C12" r:id="rId6" location="'24_Cash_Flow'!B2" display="18+ months"/>
    <hyperlink ref="D12" r:id="rId7" location="'24_Cash_Flow'!B2" display="file:///home/claude/work/kilde-launch-plan/deploy/docs/KILDE_Integrated_Financial_Model_v3.5_2026-07.xlsx#'24_Cash_Flow'!B2"/>
    <hyperlink ref="E12" r:id="rId8" location="'26_Break_Even_Payback'!B2" display="M11"/>
    <hyperlink ref="F12" r:id="rId9" location="'26_Break_Even_Payback'!B2" display="M30"/>
    <hyperlink ref="G12" r:id="rId10" location="'27_Scenarios'!B2" display="+645 kNOK"/>
    <hyperlink ref="B17" r:id="rId11" location="'23_Monthly_PnL'!B2" display="file:///home/claude/work/kilde-launch-plan/deploy/docs/KILDE_Integrated_Financial_Model_v3.5_2026-07.xlsx#'23_Monthly_PnL'!B2"/>
    <hyperlink ref="C17" r:id="rId12" location="'23_Monthly_PnL'!B2" display="file:///home/claude/work/kilde-launch-plan/deploy/docs/KILDE_Integrated_Financial_Model_v3.5_2026-07.xlsx#'23_Monthly_PnL'!B2"/>
    <hyperlink ref="D17" r:id="rId13" location="'23_Monthly_PnL'!B2" display="file:///home/claude/work/kilde-launch-plan/deploy/docs/KILDE_Integrated_Financial_Model_v3.5_2026-07.xlsx#'23_Monthly_PnL'!B2"/>
    <hyperlink ref="E17" r:id="rId14" location="'09_Unit_Economics'!B2" display="file:///home/claude/work/kilde-launch-plan/deploy/docs/KILDE_Integrated_Financial_Model_v3.5_2026-07.xlsx#'09_Unit_Economics'!B2"/>
    <hyperlink ref="F17" r:id="rId15" location="'11_Channel_Rollout'!B2" display="file:///home/claude/work/kilde-launch-plan/deploy/docs/KILDE_Integrated_Financial_Model_v3.5_2026-07.xlsx#'11_Channel_Rollout'!B2"/>
    <hyperlink ref="G17" r:id="rId16" location="'11_Channel_Rollout'!B2" display="file:///home/claude/work/kilde-launch-plan/deploy/docs/KILDE_Integrated_Financial_Model_v3.5_2026-07.xlsx#'11_Channel_Rollout'!B2"/>
  </hyperlinks>
  <printOptions headings="false" gridLines="false" gridLinesSet="true" horizontalCentered="false" verticalCentered="false"/>
  <pageMargins left="0.75" right="0.75" top="1" bottom="1" header="0.5" footer="0.5"/>
  <pageSetup paperSize="1" scale="100" fitToWidth="1" fitToHeight="1" pageOrder="downThenOver" orientation="landscape"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17"/>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AEC6"/>
    <pageSetUpPr fitToPage="false"/>
  </sheetPr>
  <dimension ref="B2:H35"/>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8" min="2" style="0" width="13"/>
  </cols>
  <sheetData>
    <row r="2" customFormat="false" ht="24" hidden="false" customHeight="true" outlineLevel="0" collapsed="false">
      <c r="E2" s="11" t="s">
        <v>873</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874</v>
      </c>
    </row>
    <row r="6" customFormat="false" ht="15" hidden="false" customHeight="false" outlineLevel="0" collapsed="false">
      <c r="B6" s="15" t="s">
        <v>875</v>
      </c>
    </row>
    <row r="8" customFormat="false" ht="19.5" hidden="false" customHeight="true" outlineLevel="0" collapsed="false">
      <c r="B8" s="21" t="s">
        <v>876</v>
      </c>
      <c r="C8" s="21"/>
      <c r="D8" s="21"/>
      <c r="E8" s="21"/>
      <c r="F8" s="21"/>
      <c r="G8" s="21"/>
      <c r="H8" s="21"/>
    </row>
    <row r="9" customFormat="false" ht="15" hidden="false" customHeight="false" outlineLevel="0" collapsed="false">
      <c r="B9" s="15" t="s">
        <v>877</v>
      </c>
    </row>
    <row r="10" customFormat="false" ht="15" hidden="false" customHeight="false" outlineLevel="0" collapsed="false">
      <c r="C10" s="87" t="s">
        <v>878</v>
      </c>
      <c r="D10" s="87" t="s">
        <v>879</v>
      </c>
      <c r="E10" s="87" t="s">
        <v>880</v>
      </c>
      <c r="F10" s="87" t="s">
        <v>881</v>
      </c>
    </row>
    <row r="11" customFormat="false" ht="15" hidden="false" customHeight="false" outlineLevel="0" collapsed="false">
      <c r="B11" s="87" t="s">
        <v>879</v>
      </c>
      <c r="C11" s="88" t="n">
        <v>17.3</v>
      </c>
      <c r="D11" s="88" t="n">
        <v>16.1</v>
      </c>
      <c r="E11" s="88" t="n">
        <v>14.9</v>
      </c>
      <c r="F11" s="88" t="n">
        <v>16.1</v>
      </c>
    </row>
    <row r="12" customFormat="false" ht="15" hidden="false" customHeight="false" outlineLevel="0" collapsed="false">
      <c r="B12" s="87" t="s">
        <v>882</v>
      </c>
      <c r="C12" s="88" t="n">
        <v>15.7</v>
      </c>
      <c r="D12" s="88" t="n">
        <v>14.5</v>
      </c>
      <c r="E12" s="88" t="n">
        <v>13.3</v>
      </c>
      <c r="F12" s="88" t="n">
        <v>14.5</v>
      </c>
    </row>
    <row r="13" customFormat="false" ht="15" hidden="false" customHeight="false" outlineLevel="0" collapsed="false">
      <c r="B13" s="87" t="s">
        <v>880</v>
      </c>
      <c r="C13" s="88" t="n">
        <v>14.1</v>
      </c>
      <c r="D13" s="88" t="n">
        <v>12.9</v>
      </c>
      <c r="E13" s="88" t="n">
        <v>11.7</v>
      </c>
      <c r="F13" s="88" t="n">
        <v>12.9</v>
      </c>
    </row>
    <row r="14" customFormat="false" ht="15" hidden="false" customHeight="false" outlineLevel="0" collapsed="false">
      <c r="B14" s="87" t="s">
        <v>883</v>
      </c>
      <c r="C14" s="88" t="n">
        <v>15.7</v>
      </c>
      <c r="D14" s="88" t="n">
        <v>14.5</v>
      </c>
      <c r="E14" s="88" t="n">
        <v>13.3</v>
      </c>
      <c r="F14" s="88" t="n">
        <v>14.5</v>
      </c>
    </row>
    <row r="17" customFormat="false" ht="19.5" hidden="false" customHeight="true" outlineLevel="0" collapsed="false">
      <c r="B17" s="21" t="s">
        <v>884</v>
      </c>
      <c r="C17" s="21"/>
      <c r="D17" s="21"/>
      <c r="E17" s="21"/>
      <c r="F17" s="21"/>
      <c r="G17" s="21"/>
      <c r="H17" s="21"/>
    </row>
    <row r="18" customFormat="false" ht="15" hidden="false" customHeight="false" outlineLevel="0" collapsed="false">
      <c r="B18" s="15" t="s">
        <v>885</v>
      </c>
    </row>
    <row r="19" customFormat="false" ht="15" hidden="false" customHeight="false" outlineLevel="0" collapsed="false">
      <c r="C19" s="87" t="s">
        <v>882</v>
      </c>
      <c r="D19" s="87" t="s">
        <v>880</v>
      </c>
      <c r="E19" s="87" t="s">
        <v>883</v>
      </c>
    </row>
    <row r="20" customFormat="false" ht="15" hidden="false" customHeight="false" outlineLevel="0" collapsed="false">
      <c r="B20" s="87" t="s">
        <v>886</v>
      </c>
      <c r="C20" s="88" t="n">
        <v>14.1</v>
      </c>
      <c r="D20" s="88" t="n">
        <v>12.5</v>
      </c>
      <c r="E20" s="88" t="n">
        <v>14.1</v>
      </c>
    </row>
    <row r="21" customFormat="false" ht="15" hidden="false" customHeight="false" outlineLevel="0" collapsed="false">
      <c r="B21" s="87" t="s">
        <v>887</v>
      </c>
      <c r="C21" s="88" t="n">
        <v>13.3</v>
      </c>
      <c r="D21" s="88" t="n">
        <v>11.7</v>
      </c>
      <c r="E21" s="88" t="n">
        <v>13.3</v>
      </c>
    </row>
    <row r="22" customFormat="false" ht="15" hidden="false" customHeight="false" outlineLevel="0" collapsed="false">
      <c r="B22" s="87" t="s">
        <v>888</v>
      </c>
      <c r="C22" s="88" t="n">
        <v>12.4</v>
      </c>
      <c r="D22" s="88" t="n">
        <v>10.8</v>
      </c>
      <c r="E22" s="88" t="n">
        <v>12.4</v>
      </c>
    </row>
    <row r="23" customFormat="false" ht="15" hidden="false" customHeight="false" outlineLevel="0" collapsed="false">
      <c r="B23" s="87" t="s">
        <v>889</v>
      </c>
      <c r="C23" s="88" t="n">
        <v>11.4</v>
      </c>
      <c r="D23" s="88" t="n">
        <v>9.8</v>
      </c>
      <c r="E23" s="88" t="n">
        <v>11.4</v>
      </c>
    </row>
    <row r="26" customFormat="false" ht="19.5" hidden="false" customHeight="true" outlineLevel="0" collapsed="false">
      <c r="B26" s="21" t="s">
        <v>890</v>
      </c>
      <c r="C26" s="21"/>
      <c r="D26" s="21"/>
      <c r="E26" s="21"/>
      <c r="F26" s="21"/>
      <c r="G26" s="21"/>
      <c r="H26" s="21"/>
    </row>
    <row r="27" customFormat="false" ht="15" hidden="false" customHeight="false" outlineLevel="0" collapsed="false">
      <c r="B27" s="15" t="s">
        <v>891</v>
      </c>
    </row>
    <row r="28" customFormat="false" ht="15" hidden="false" customHeight="false" outlineLevel="0" collapsed="false">
      <c r="C28" s="87" t="s">
        <v>892</v>
      </c>
      <c r="D28" s="87" t="s">
        <v>893</v>
      </c>
      <c r="E28" s="87" t="s">
        <v>894</v>
      </c>
    </row>
    <row r="29" customFormat="false" ht="15" hidden="false" customHeight="false" outlineLevel="0" collapsed="false">
      <c r="B29" s="87" t="s">
        <v>200</v>
      </c>
      <c r="C29" s="88" t="n">
        <v>40</v>
      </c>
      <c r="D29" s="88" t="n">
        <v>58.5</v>
      </c>
      <c r="E29" s="88" t="n">
        <v>70</v>
      </c>
    </row>
    <row r="30" customFormat="false" ht="15" hidden="false" customHeight="false" outlineLevel="0" collapsed="false">
      <c r="B30" s="87" t="s">
        <v>201</v>
      </c>
      <c r="C30" s="88" t="n">
        <v>48</v>
      </c>
      <c r="D30" s="88" t="n">
        <v>70.2</v>
      </c>
      <c r="E30" s="88" t="n">
        <v>84</v>
      </c>
    </row>
    <row r="31" customFormat="false" ht="15" hidden="false" customHeight="false" outlineLevel="0" collapsed="false">
      <c r="B31" s="87" t="s">
        <v>202</v>
      </c>
      <c r="C31" s="88" t="n">
        <v>64</v>
      </c>
      <c r="D31" s="88" t="n">
        <v>93.6</v>
      </c>
      <c r="E31" s="88" t="n">
        <v>112</v>
      </c>
    </row>
    <row r="34" customFormat="false" ht="15" hidden="false" customHeight="true" outlineLevel="0" collapsed="false">
      <c r="B34" s="34" t="s">
        <v>895</v>
      </c>
      <c r="C34" s="34"/>
      <c r="D34" s="34"/>
      <c r="E34" s="34"/>
      <c r="F34" s="34"/>
      <c r="G34" s="34"/>
      <c r="H34" s="34"/>
    </row>
    <row r="35" customFormat="false" ht="15" hidden="false" customHeight="false" outlineLevel="0" collapsed="false">
      <c r="B35" s="34"/>
      <c r="C35" s="34"/>
      <c r="D35" s="34"/>
      <c r="E35" s="34"/>
      <c r="F35" s="34"/>
      <c r="G35" s="34"/>
      <c r="H35" s="34"/>
    </row>
  </sheetData>
  <mergeCells count="4">
    <mergeCell ref="B8:H8"/>
    <mergeCell ref="B17:H17"/>
    <mergeCell ref="B26:H26"/>
    <mergeCell ref="B34:H35"/>
  </mergeCells>
  <conditionalFormatting sqref="C11:F14">
    <cfRule type="colorScale" priority="2">
      <colorScale>
        <cfvo type="min" val="0"/>
        <cfvo type="percentile" val="50"/>
        <cfvo type="max" val="0"/>
        <color rgb="FFF6E4E4"/>
        <color rgb="FFFFFFFF"/>
        <color rgb="FFDCEAF6"/>
      </colorScale>
    </cfRule>
  </conditionalFormatting>
  <conditionalFormatting sqref="C20:E23">
    <cfRule type="colorScale" priority="3">
      <colorScale>
        <cfvo type="min" val="0"/>
        <cfvo type="percentile" val="50"/>
        <cfvo type="max" val="0"/>
        <color rgb="FFF6E4E4"/>
        <color rgb="FFFFFFFF"/>
        <color rgb="FFDCEAF6"/>
      </colorScale>
    </cfRule>
  </conditionalFormatting>
  <conditionalFormatting sqref="C29:E31">
    <cfRule type="colorScale" priority="4">
      <colorScale>
        <cfvo type="min" val="0"/>
        <cfvo type="percentile" val="50"/>
        <cfvo type="max" val="0"/>
        <color rgb="FFF6E4E4"/>
        <color rgb="FFFFFFFF"/>
        <color rgb="FFDCEAF6"/>
      </colorScale>
    </cfRule>
  </conditionalFormatting>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AEC6"/>
    <pageSetUpPr fitToPage="false"/>
  </sheetPr>
  <dimension ref="B2:H15"/>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B2" activeCellId="0" sqref="B2"/>
    </sheetView>
  </sheetViews>
  <sheetFormatPr defaultColWidth="8.6796875" defaultRowHeight="15" zeroHeight="false" outlineLevelRow="0" outlineLevelCol="0"/>
  <cols>
    <col collapsed="false" customWidth="true" hidden="false" outlineLevel="0" max="2" min="2" style="0" width="42"/>
    <col collapsed="false" customWidth="true" hidden="false" outlineLevel="0" max="5" min="3" style="0" width="15"/>
  </cols>
  <sheetData>
    <row r="2" customFormat="false" ht="24" hidden="false" customHeight="true" outlineLevel="0" collapsed="false">
      <c r="E2" s="11" t="s">
        <v>896</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897</v>
      </c>
    </row>
    <row r="6" customFormat="false" ht="15" hidden="false" customHeight="false" outlineLevel="0" collapsed="false">
      <c r="B6" s="15" t="s">
        <v>898</v>
      </c>
    </row>
    <row r="8" customFormat="false" ht="19.5" hidden="false" customHeight="true" outlineLevel="0" collapsed="false">
      <c r="B8" s="41" t="s">
        <v>610</v>
      </c>
      <c r="C8" s="41" t="s">
        <v>86</v>
      </c>
      <c r="D8" s="41" t="s">
        <v>87</v>
      </c>
      <c r="E8" s="41" t="s">
        <v>88</v>
      </c>
    </row>
    <row r="9" customFormat="false" ht="15" hidden="false" customHeight="false" outlineLevel="0" collapsed="false">
      <c r="B9" s="42" t="s">
        <v>899</v>
      </c>
      <c r="C9" s="65" t="n">
        <v>-1684805</v>
      </c>
      <c r="D9" s="65" t="n">
        <v>-218247</v>
      </c>
      <c r="E9" s="65" t="n">
        <v>7754479</v>
      </c>
    </row>
    <row r="10" customFormat="false" ht="15" hidden="false" customHeight="false" outlineLevel="0" collapsed="false">
      <c r="B10" s="42" t="s">
        <v>900</v>
      </c>
      <c r="C10" s="89" t="n">
        <v>-0.84</v>
      </c>
      <c r="D10" s="89" t="n">
        <v>-0.11</v>
      </c>
      <c r="E10" s="89" t="n">
        <v>3.88</v>
      </c>
    </row>
    <row r="11" customFormat="false" ht="15" hidden="false" customHeight="false" outlineLevel="0" collapsed="false">
      <c r="B11" s="42" t="s">
        <v>901</v>
      </c>
      <c r="C11" s="65" t="n">
        <v>-819205</v>
      </c>
      <c r="D11" s="65" t="n">
        <v>2647359</v>
      </c>
      <c r="E11" s="65" t="n">
        <v>9153523</v>
      </c>
    </row>
    <row r="12" customFormat="false" ht="15" hidden="false" customHeight="false" outlineLevel="0" collapsed="false">
      <c r="B12" s="42" t="s">
        <v>902</v>
      </c>
      <c r="C12" s="58" t="n">
        <v>-0.41</v>
      </c>
      <c r="D12" s="58" t="n">
        <v>1.324</v>
      </c>
      <c r="E12" s="58" t="n">
        <v>4.577</v>
      </c>
    </row>
    <row r="14" customFormat="false" ht="15" hidden="false" customHeight="true" outlineLevel="0" collapsed="false">
      <c r="B14" s="34" t="s">
        <v>903</v>
      </c>
      <c r="C14" s="34"/>
      <c r="D14" s="34"/>
      <c r="E14" s="34"/>
    </row>
    <row r="15" customFormat="false" ht="15" hidden="false" customHeight="false" outlineLevel="0" collapsed="false">
      <c r="B15" s="34"/>
      <c r="C15" s="34"/>
      <c r="D15" s="34"/>
      <c r="E15" s="34"/>
    </row>
  </sheetData>
  <mergeCells count="1">
    <mergeCell ref="B14:E15"/>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AEC6"/>
    <pageSetUpPr fitToPage="false"/>
  </sheetPr>
  <dimension ref="B2:H1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B2" activeCellId="0" sqref="B2"/>
    </sheetView>
  </sheetViews>
  <sheetFormatPr defaultColWidth="8.6796875" defaultRowHeight="15" zeroHeight="false" outlineLevelRow="0" outlineLevelCol="0"/>
  <cols>
    <col collapsed="false" customWidth="true" hidden="false" outlineLevel="0" max="2" min="2" style="0" width="36"/>
    <col collapsed="false" customWidth="true" hidden="false" outlineLevel="0" max="3" min="3" style="0" width="64"/>
    <col collapsed="false" customWidth="true" hidden="true" outlineLevel="0" max="39" min="12" style="0" width="13"/>
  </cols>
  <sheetData>
    <row r="2" customFormat="false" ht="24" hidden="false" customHeight="true" outlineLevel="0" collapsed="false">
      <c r="E2" s="11" t="s">
        <v>904</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905</v>
      </c>
    </row>
    <row r="6" customFormat="false" ht="15" hidden="false" customHeight="false" outlineLevel="0" collapsed="false">
      <c r="B6" s="15" t="s">
        <v>906</v>
      </c>
    </row>
    <row r="8" customFormat="false" ht="15" hidden="false" customHeight="false" outlineLevel="0" collapsed="false">
      <c r="B8" s="16" t="s">
        <v>907</v>
      </c>
      <c r="C8" s="90" t="s">
        <v>908</v>
      </c>
    </row>
    <row r="10" customFormat="false" ht="15" hidden="false" customHeight="false" outlineLevel="0" collapsed="false">
      <c r="B10" s="16" t="s">
        <v>316</v>
      </c>
      <c r="C10" s="90" t="s">
        <v>909</v>
      </c>
    </row>
    <row r="12" customFormat="false" ht="23.85" hidden="false" customHeight="false" outlineLevel="0" collapsed="false">
      <c r="B12" s="16" t="s">
        <v>910</v>
      </c>
      <c r="C12" s="90" t="s">
        <v>911</v>
      </c>
    </row>
    <row r="14" customFormat="false" ht="23.85" hidden="false" customHeight="false" outlineLevel="0" collapsed="false">
      <c r="B14" s="16" t="s">
        <v>912</v>
      </c>
      <c r="C14" s="90" t="s">
        <v>913</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AEC6"/>
    <pageSetUpPr fitToPage="false"/>
  </sheetPr>
  <dimension ref="B2:H27"/>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B2" activeCellId="0" sqref="B2"/>
    </sheetView>
  </sheetViews>
  <sheetFormatPr defaultColWidth="8.6796875" defaultRowHeight="15" zeroHeight="false" outlineLevelRow="0" outlineLevelCol="0"/>
  <cols>
    <col collapsed="false" customWidth="true" hidden="false" outlineLevel="0" max="2" min="2" style="0" width="40"/>
    <col collapsed="false" customWidth="true" hidden="false" outlineLevel="0" max="3" min="3" style="0" width="16"/>
    <col collapsed="false" customWidth="true" hidden="false" outlineLevel="0" max="4" min="4" style="0" width="52"/>
  </cols>
  <sheetData>
    <row r="2" customFormat="false" ht="24" hidden="false" customHeight="true" outlineLevel="0" collapsed="false">
      <c r="E2" s="11" t="s">
        <v>914</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915</v>
      </c>
    </row>
    <row r="6" customFormat="false" ht="15" hidden="false" customHeight="false" outlineLevel="0" collapsed="false">
      <c r="B6" s="15" t="s">
        <v>916</v>
      </c>
    </row>
    <row r="8" customFormat="false" ht="15" hidden="false" customHeight="false" outlineLevel="0" collapsed="false">
      <c r="B8" s="91" t="s">
        <v>917</v>
      </c>
      <c r="C8" s="91"/>
      <c r="D8" s="91"/>
    </row>
    <row r="10" customFormat="false" ht="19.5" hidden="false" customHeight="true" outlineLevel="0" collapsed="false">
      <c r="B10" s="41" t="s">
        <v>918</v>
      </c>
      <c r="C10" s="41" t="s">
        <v>218</v>
      </c>
      <c r="D10" s="41" t="s">
        <v>538</v>
      </c>
    </row>
    <row r="11" customFormat="false" ht="15" hidden="false" customHeight="false" outlineLevel="0" collapsed="false">
      <c r="B11" s="42" t="s">
        <v>919</v>
      </c>
      <c r="C11" s="64" t="n">
        <v>2000000</v>
      </c>
      <c r="D11" s="72" t="s">
        <v>920</v>
      </c>
    </row>
    <row r="12" customFormat="false" ht="15" hidden="false" customHeight="false" outlineLevel="0" collapsed="false">
      <c r="B12" s="42" t="s">
        <v>921</v>
      </c>
      <c r="C12" s="43" t="s">
        <v>317</v>
      </c>
      <c r="D12" s="72" t="s">
        <v>922</v>
      </c>
    </row>
    <row r="13" customFormat="false" ht="15" hidden="false" customHeight="false" outlineLevel="0" collapsed="false">
      <c r="B13" s="42" t="s">
        <v>923</v>
      </c>
      <c r="C13" s="45" t="n">
        <v>0.15</v>
      </c>
      <c r="D13" s="72" t="s">
        <v>924</v>
      </c>
    </row>
    <row r="14" customFormat="false" ht="15" hidden="false" customHeight="false" outlineLevel="0" collapsed="false">
      <c r="B14" s="42" t="s">
        <v>925</v>
      </c>
      <c r="C14" s="43" t="s">
        <v>926</v>
      </c>
      <c r="D14" s="72" t="s">
        <v>927</v>
      </c>
    </row>
    <row r="15" customFormat="false" ht="15" hidden="false" customHeight="false" outlineLevel="0" collapsed="false">
      <c r="B15" s="42" t="s">
        <v>928</v>
      </c>
      <c r="C15" s="43" t="s">
        <v>929</v>
      </c>
      <c r="D15" s="72" t="s">
        <v>927</v>
      </c>
    </row>
    <row r="16" customFormat="false" ht="15" hidden="false" customHeight="false" outlineLevel="0" collapsed="false">
      <c r="B16" s="42" t="s">
        <v>930</v>
      </c>
      <c r="C16" s="43" t="s">
        <v>317</v>
      </c>
      <c r="D16" s="72" t="s">
        <v>931</v>
      </c>
    </row>
    <row r="17" customFormat="false" ht="15" hidden="false" customHeight="false" outlineLevel="0" collapsed="false">
      <c r="B17" s="42" t="s">
        <v>932</v>
      </c>
      <c r="C17" s="43" t="n">
        <v>6</v>
      </c>
      <c r="D17" s="72" t="s">
        <v>933</v>
      </c>
    </row>
    <row r="18" customFormat="false" ht="15" hidden="false" customHeight="false" outlineLevel="0" collapsed="false">
      <c r="B18" s="42" t="s">
        <v>934</v>
      </c>
      <c r="C18" s="43" t="n">
        <v>0</v>
      </c>
      <c r="D18" s="72" t="s">
        <v>935</v>
      </c>
    </row>
    <row r="19" customFormat="false" ht="15" hidden="false" customHeight="false" outlineLevel="0" collapsed="false">
      <c r="B19" s="42" t="s">
        <v>936</v>
      </c>
      <c r="C19" s="45" t="n">
        <v>0.03</v>
      </c>
      <c r="D19" s="72" t="s">
        <v>927</v>
      </c>
    </row>
    <row r="21" customFormat="false" ht="15" hidden="false" customHeight="false" outlineLevel="0" collapsed="false">
      <c r="B21" s="16" t="s">
        <v>937</v>
      </c>
    </row>
    <row r="22" customFormat="false" ht="15" hidden="false" customHeight="false" outlineLevel="0" collapsed="false">
      <c r="B22" s="42" t="s">
        <v>938</v>
      </c>
      <c r="C22" s="81" t="str">
        <f aca="false">IF(ISNUMBER(C12),C11/(C12+C11),"set pre-money")</f>
        <v>set pre-money</v>
      </c>
    </row>
    <row r="23" customFormat="false" ht="15" hidden="false" customHeight="false" outlineLevel="0" collapsed="false">
      <c r="B23" s="42" t="s">
        <v>939</v>
      </c>
      <c r="C23" s="81" t="str">
        <f aca="false">IF(ISNUMBER(C12),(C11/(C12+C11))*(1-C13),"set pre-money")</f>
        <v>set pre-money</v>
      </c>
    </row>
    <row r="24" customFormat="false" ht="15" hidden="false" customHeight="false" outlineLevel="0" collapsed="false">
      <c r="B24" s="42" t="s">
        <v>940</v>
      </c>
      <c r="C24" s="81" t="str">
        <f aca="false">IF(ISNUMBER(C16),C16*C17,"set exit EBITDA")</f>
        <v>set exit EBITDA</v>
      </c>
    </row>
    <row r="25" customFormat="false" ht="15" hidden="false" customHeight="false" outlineLevel="0" collapsed="false">
      <c r="B25" s="42" t="s">
        <v>941</v>
      </c>
      <c r="C25" s="81" t="str">
        <f aca="false">IF(AND(ISNUMBER(C12),ISNUMBER(C16)),(C16*C17-C18)*(1-C19)*(C11/(C12+C11))*(1-C13),"set inputs")</f>
        <v>set inputs</v>
      </c>
    </row>
    <row r="26" customFormat="false" ht="15" hidden="false" customHeight="false" outlineLevel="0" collapsed="false">
      <c r="B26" s="42" t="s">
        <v>942</v>
      </c>
      <c r="C26" s="81" t="str">
        <f aca="false">IF(AND(ISNUMBER(C12),ISNUMBER(C16)),((C16*C17-C18)*(1-C19)*(C11/(C12+C11))*(1-C13))/C11,"set inputs")</f>
        <v>set inputs</v>
      </c>
    </row>
    <row r="27" customFormat="false" ht="15" hidden="false" customHeight="false" outlineLevel="0" collapsed="false">
      <c r="B27" s="42" t="s">
        <v>943</v>
      </c>
      <c r="C27" s="81" t="str">
        <f aca="false">IF(AND(ISNUMBER(C12),ISNUMBER(C16)),(((C16*C17-C18)*(1-C19)*(C11/(C12+C11))*(1-C13))/C11)^(1/5)-1,"set inputs")</f>
        <v>set inputs</v>
      </c>
    </row>
  </sheetData>
  <mergeCells count="1">
    <mergeCell ref="B8:D8"/>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E7A4C"/>
    <pageSetUpPr fitToPage="false"/>
  </sheetPr>
  <dimension ref="B2:H27"/>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2" min="2" style="0" width="52"/>
    <col collapsed="false" customWidth="true" hidden="false" outlineLevel="0" max="3" min="3" style="0" width="11"/>
    <col collapsed="false" customWidth="true" hidden="false" outlineLevel="0" max="4" min="4" style="0" width="48"/>
  </cols>
  <sheetData>
    <row r="2" customFormat="false" ht="24" hidden="false" customHeight="true" outlineLevel="0" collapsed="false">
      <c r="E2" s="11" t="s">
        <v>944</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945</v>
      </c>
    </row>
    <row r="6" customFormat="false" ht="15" hidden="false" customHeight="false" outlineLevel="0" collapsed="false">
      <c r="B6" s="15" t="s">
        <v>946</v>
      </c>
    </row>
    <row r="8" customFormat="false" ht="19.5" hidden="false" customHeight="true" outlineLevel="0" collapsed="false">
      <c r="B8" s="41" t="s">
        <v>947</v>
      </c>
      <c r="C8" s="41" t="s">
        <v>948</v>
      </c>
      <c r="D8" s="41" t="s">
        <v>949</v>
      </c>
    </row>
    <row r="9" customFormat="false" ht="15" hidden="false" customHeight="false" outlineLevel="0" collapsed="false">
      <c r="B9" s="42" t="s">
        <v>950</v>
      </c>
      <c r="C9" s="92" t="str">
        <f aca="false">IF(22_Funding_Use_of_Funds!C24=22_Funding_Use_of_Funds!C22,"PASS","FAIL")</f>
        <v>PASS</v>
      </c>
      <c r="D9" s="72" t="s">
        <v>951</v>
      </c>
    </row>
    <row r="10" customFormat="false" ht="15" hidden="false" customHeight="false" outlineLevel="0" collapsed="false">
      <c r="B10" s="42" t="s">
        <v>952</v>
      </c>
      <c r="C10" s="92" t="str">
        <f aca="false">IF(22_Funding_Use_of_Funds!C22=2000,"PASS","FAIL")</f>
        <v>PASS</v>
      </c>
      <c r="D10" s="72" t="s">
        <v>953</v>
      </c>
    </row>
    <row r="11" customFormat="false" ht="15" hidden="false" customHeight="false" outlineLevel="0" collapsed="false">
      <c r="B11" s="42" t="s">
        <v>954</v>
      </c>
      <c r="C11" s="92" t="str">
        <f aca="false">IF(21_CAPEX_Launch_Costs!C21=22_Funding_Use_of_Funds!C22,"PASS","FAIL")</f>
        <v>PASS</v>
      </c>
      <c r="D11" s="72" t="s">
        <v>955</v>
      </c>
    </row>
    <row r="12" customFormat="false" ht="15" hidden="false" customHeight="false" outlineLevel="0" collapsed="false">
      <c r="B12" s="42" t="s">
        <v>956</v>
      </c>
      <c r="C12" s="92" t="str">
        <f aca="false">IF(ABS(23_Monthly_PnL!E45-(23_Monthly_PnL!C45-23_Monthly_PnL!D45))&lt;1,"PASS","FAIL")</f>
        <v>PASS</v>
      </c>
      <c r="D12" s="72" t="s">
        <v>957</v>
      </c>
    </row>
    <row r="13" customFormat="false" ht="15" hidden="false" customHeight="false" outlineLevel="0" collapsed="false">
      <c r="B13" s="42" t="s">
        <v>958</v>
      </c>
      <c r="C13" s="92" t="str">
        <f aca="false">IF(AND(23_Monthly_PnL!E45/23_Monthly_PnL!C45&gt;0,23_Monthly_PnL!E45/23_Monthly_PnL!C45&lt;1),"PASS","FAIL")</f>
        <v>PASS</v>
      </c>
      <c r="D13" s="72" t="s">
        <v>959</v>
      </c>
    </row>
    <row r="14" customFormat="false" ht="15" hidden="false" customHeight="false" outlineLevel="0" collapsed="false">
      <c r="B14" s="42" t="s">
        <v>960</v>
      </c>
      <c r="C14" s="92" t="str">
        <f aca="false">IF(ABS(24_Cash_Flow!F44-9754479)&lt;5,"PASS","FAIL")</f>
        <v>PASS</v>
      </c>
      <c r="D14" s="72" t="s">
        <v>961</v>
      </c>
    </row>
    <row r="15" customFormat="false" ht="15" hidden="false" customHeight="false" outlineLevel="0" collapsed="false">
      <c r="B15" s="42" t="s">
        <v>962</v>
      </c>
      <c r="C15" s="92" t="str">
        <f aca="false">IF(MIN(24_Cash_Flow!F9:F44)&gt;=0,"PASS","FAIL")</f>
        <v>PASS</v>
      </c>
      <c r="D15" s="72" t="s">
        <v>963</v>
      </c>
    </row>
    <row r="16" customFormat="false" ht="15" hidden="false" customHeight="false" outlineLevel="0" collapsed="false">
      <c r="B16" s="42" t="s">
        <v>964</v>
      </c>
      <c r="C16" s="92" t="str">
        <f aca="false">IF(ABS(MIN(24_Cash_Flow!F9:F44)-196943)&lt;5,"PASS","FAIL")</f>
        <v>PASS</v>
      </c>
      <c r="D16" s="72" t="s">
        <v>965</v>
      </c>
    </row>
    <row r="17" customFormat="false" ht="15" hidden="false" customHeight="false" outlineLevel="0" collapsed="false">
      <c r="B17" s="42" t="s">
        <v>966</v>
      </c>
      <c r="C17" s="92" t="str">
        <f aca="false">IF(ABS(25_Balance_Sheet!E14-25_Balance_Sheet!E19)&lt;5,"PASS","FAIL")</f>
        <v>PASS</v>
      </c>
      <c r="D17" s="72" t="s">
        <v>967</v>
      </c>
    </row>
    <row r="18" customFormat="false" ht="15" hidden="false" customHeight="false" outlineLevel="0" collapsed="false">
      <c r="B18" s="42" t="s">
        <v>968</v>
      </c>
      <c r="C18" s="92" t="str">
        <f aca="false">IF(MIN(16_Inventory_Purchasing!C9:C24)&gt;=0,"PASS","FAIL")</f>
        <v>PASS</v>
      </c>
      <c r="D18" s="72" t="s">
        <v>969</v>
      </c>
    </row>
    <row r="19" customFormat="false" ht="15" hidden="false" customHeight="false" outlineLevel="0" collapsed="false">
      <c r="B19" s="42" t="s">
        <v>970</v>
      </c>
      <c r="C19" s="92" t="str">
        <f aca="false">IF(ABS(349/1.15-303.48)&lt;0.01,"PASS","FAIL")</f>
        <v>PASS</v>
      </c>
      <c r="D19" s="72" t="s">
        <v>971</v>
      </c>
    </row>
    <row r="20" customFormat="false" ht="15" hidden="false" customHeight="false" outlineLevel="0" collapsed="false">
      <c r="B20" s="42" t="s">
        <v>972</v>
      </c>
      <c r="C20" s="92" t="str">
        <f aca="false">IF(ABS(09_Unit_Economics!J10-09_Unit_Economics!I10/09_Unit_Economics!D10)&lt;0.001,"PASS","FAIL")</f>
        <v>PASS</v>
      </c>
      <c r="D20" s="72" t="s">
        <v>973</v>
      </c>
    </row>
    <row r="21" customFormat="false" ht="15" hidden="false" customHeight="false" outlineLevel="0" collapsed="false">
      <c r="B21" s="42" t="s">
        <v>974</v>
      </c>
      <c r="C21" s="92" t="str">
        <f aca="false">IF(COUNTA(27_Scenarios!B9:B20)=12,"PASS","FAIL")</f>
        <v>PASS</v>
      </c>
      <c r="D21" s="72" t="s">
        <v>975</v>
      </c>
    </row>
    <row r="22" customFormat="false" ht="15" hidden="false" customHeight="false" outlineLevel="0" collapsed="false">
      <c r="B22" s="42" t="s">
        <v>976</v>
      </c>
      <c r="C22" s="92" t="str">
        <f aca="false">IF(28_Sensitivity!C36*1&gt;=0,"PASS","REVIEW")</f>
        <v>PASS</v>
      </c>
      <c r="D22" s="72" t="s">
        <v>977</v>
      </c>
    </row>
    <row r="23" customFormat="false" ht="15" hidden="false" customHeight="false" outlineLevel="0" collapsed="false">
      <c r="B23" s="42" t="s">
        <v>978</v>
      </c>
      <c r="C23" s="92" t="s">
        <v>979</v>
      </c>
      <c r="D23" s="72" t="s">
        <v>980</v>
      </c>
    </row>
    <row r="24" customFormat="false" ht="15" hidden="false" customHeight="false" outlineLevel="0" collapsed="false">
      <c r="B24" s="42" t="s">
        <v>981</v>
      </c>
      <c r="C24" s="92" t="s">
        <v>979</v>
      </c>
      <c r="D24" s="72" t="s">
        <v>982</v>
      </c>
    </row>
    <row r="27" customFormat="false" ht="17.35" hidden="false" customHeight="false" outlineLevel="0" collapsed="false">
      <c r="B27" s="93" t="s">
        <v>13</v>
      </c>
      <c r="C27" s="94" t="str">
        <f aca="false">IF(COUNTIF(C9:C24,"PASS")+COUNTIF(C9:C24,"REVIEW")=ROWS(C9:C24),IF(COUNTIF(C9:C24,"REVIEW")&gt;0,"REVIEW","OK"),"FAIL")</f>
        <v>OK</v>
      </c>
    </row>
  </sheetData>
  <conditionalFormatting sqref="C9:C24">
    <cfRule type="cellIs" priority="2" operator="equal" aboveAverage="0" equalAverage="0" bottom="0" percent="0" rank="0" text="" dxfId="0">
      <formula>"PASS"</formula>
    </cfRule>
    <cfRule type="cellIs" priority="3" operator="equal" aboveAverage="0" equalAverage="0" bottom="0" percent="0" rank="0" text="" dxfId="1">
      <formula>"FAIL"</formula>
    </cfRule>
    <cfRule type="cellIs" priority="4" operator="equal" aboveAverage="0" equalAverage="0" bottom="0" percent="0" rank="0" text="" dxfId="2">
      <formula>"REVIEW"</formula>
    </cfRule>
  </conditionalFormatting>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E7FA6"/>
    <pageSetUpPr fitToPage="false"/>
  </sheetPr>
  <dimension ref="B2:H139"/>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5"/>
    <col collapsed="false" customWidth="true" hidden="false" outlineLevel="0" max="2" min="2" style="0" width="22"/>
    <col collapsed="false" customWidth="true" hidden="false" outlineLevel="0" max="3" min="3" style="0" width="16"/>
    <col collapsed="false" customWidth="true" hidden="false" outlineLevel="0" max="6" min="4" style="0" width="2"/>
    <col collapsed="false" customWidth="true" hidden="true" outlineLevel="0" max="39" min="7" style="0" width="13"/>
  </cols>
  <sheetData>
    <row r="2" customFormat="false" ht="24" hidden="false" customHeight="true" outlineLevel="0" collapsed="false">
      <c r="E2" s="11" t="s">
        <v>131</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132</v>
      </c>
    </row>
    <row r="6" customFormat="false" ht="15" hidden="false" customHeight="false" outlineLevel="0" collapsed="false">
      <c r="B6" s="15" t="s">
        <v>133</v>
      </c>
    </row>
    <row r="8" customFormat="false" ht="15" hidden="false" customHeight="false" outlineLevel="0" collapsed="false">
      <c r="B8" s="28" t="s">
        <v>59</v>
      </c>
      <c r="C8" s="29"/>
    </row>
    <row r="9" customFormat="false" ht="18.55" hidden="false" customHeight="false" outlineLevel="0" collapsed="false">
      <c r="B9" s="30" t="s">
        <v>134</v>
      </c>
      <c r="C9" s="29"/>
    </row>
    <row r="11" customFormat="false" ht="15" hidden="false" customHeight="false" outlineLevel="0" collapsed="false">
      <c r="B11" s="28" t="s">
        <v>135</v>
      </c>
      <c r="C11" s="29"/>
    </row>
    <row r="12" customFormat="false" ht="16.15" hidden="false" customHeight="false" outlineLevel="0" collapsed="false">
      <c r="B12" s="31" t="s">
        <v>136</v>
      </c>
      <c r="C12" s="29"/>
    </row>
    <row r="14" customFormat="false" ht="15" hidden="false" customHeight="false" outlineLevel="0" collapsed="false">
      <c r="B14" s="28" t="s">
        <v>79</v>
      </c>
      <c r="C14" s="29"/>
    </row>
    <row r="15" customFormat="false" ht="16.15" hidden="false" customHeight="false" outlineLevel="0" collapsed="false">
      <c r="B15" s="32" t="n">
        <v>0.68</v>
      </c>
      <c r="C15" s="29"/>
    </row>
    <row r="17" customFormat="false" ht="15" hidden="false" customHeight="false" outlineLevel="0" collapsed="false">
      <c r="B17" s="28" t="s">
        <v>137</v>
      </c>
      <c r="C17" s="29"/>
    </row>
    <row r="18" customFormat="false" ht="16.15" hidden="false" customHeight="false" outlineLevel="0" collapsed="false">
      <c r="B18" s="31" t="s">
        <v>138</v>
      </c>
      <c r="C18" s="29"/>
    </row>
    <row r="20" customFormat="false" ht="15" hidden="false" customHeight="false" outlineLevel="0" collapsed="false">
      <c r="B20" s="28" t="s">
        <v>139</v>
      </c>
      <c r="C20" s="29"/>
    </row>
    <row r="21" customFormat="false" ht="16.15" hidden="false" customHeight="false" outlineLevel="0" collapsed="false">
      <c r="B21" s="31" t="s">
        <v>140</v>
      </c>
      <c r="C21" s="29"/>
    </row>
    <row r="23" customFormat="false" ht="15" hidden="false" customHeight="false" outlineLevel="0" collapsed="false">
      <c r="B23" s="28" t="s">
        <v>61</v>
      </c>
      <c r="C23" s="29"/>
    </row>
    <row r="24" customFormat="false" ht="16.15" hidden="false" customHeight="false" outlineLevel="0" collapsed="false">
      <c r="B24" s="33" t="n">
        <v>196943</v>
      </c>
      <c r="C24" s="29"/>
    </row>
    <row r="26" customFormat="false" ht="15" hidden="false" customHeight="false" outlineLevel="0" collapsed="false">
      <c r="B26" s="28" t="s">
        <v>141</v>
      </c>
      <c r="C26" s="29"/>
    </row>
    <row r="27" customFormat="false" ht="16.15" hidden="false" customHeight="false" outlineLevel="0" collapsed="false">
      <c r="B27" s="31" t="s">
        <v>142</v>
      </c>
      <c r="C27" s="29"/>
    </row>
    <row r="29" customFormat="false" ht="15" hidden="false" customHeight="false" outlineLevel="0" collapsed="false">
      <c r="B29" s="28" t="s">
        <v>143</v>
      </c>
      <c r="C29" s="29"/>
    </row>
    <row r="30" customFormat="false" ht="16.15" hidden="false" customHeight="false" outlineLevel="0" collapsed="false">
      <c r="B30" s="31" t="s">
        <v>144</v>
      </c>
      <c r="C30" s="29"/>
    </row>
    <row r="32" customFormat="false" ht="15" hidden="false" customHeight="true" outlineLevel="0" collapsed="false">
      <c r="B32" s="34" t="s">
        <v>145</v>
      </c>
      <c r="C32" s="34"/>
    </row>
    <row r="33" customFormat="false" ht="15" hidden="false" customHeight="false" outlineLevel="0" collapsed="false">
      <c r="B33" s="34"/>
      <c r="C33" s="34"/>
    </row>
    <row r="35" customFormat="false" ht="15" hidden="false" customHeight="false" outlineLevel="0" collapsed="false">
      <c r="B35" s="35" t="s">
        <v>21</v>
      </c>
    </row>
    <row r="37" customFormat="false" ht="24" hidden="false" customHeight="true" outlineLevel="0" collapsed="false">
      <c r="B37" s="36" t="s">
        <v>146</v>
      </c>
      <c r="C37" s="36"/>
    </row>
    <row r="40" customFormat="false" ht="15" hidden="true" customHeight="false" outlineLevel="0" collapsed="false"/>
    <row r="41" customFormat="false" ht="15" hidden="true" customHeight="false" outlineLevel="0" collapsed="false"/>
    <row r="42" customFormat="false" ht="15" hidden="true" customHeight="false" outlineLevel="0" collapsed="false"/>
    <row r="43" customFormat="false" ht="15" hidden="true" customHeight="false" outlineLevel="0" collapsed="false"/>
    <row r="44" customFormat="false" ht="15" hidden="true" customHeight="false" outlineLevel="0" collapsed="false"/>
    <row r="45" customFormat="false" ht="15" hidden="true" customHeight="false" outlineLevel="0" collapsed="false"/>
    <row r="46" customFormat="false" ht="15" hidden="true" customHeight="false" outlineLevel="0" collapsed="false"/>
    <row r="47" customFormat="false" ht="15" hidden="true" customHeight="false" outlineLevel="0" collapsed="false"/>
    <row r="48" customFormat="false" ht="15" hidden="true" customHeight="false" outlineLevel="0" collapsed="false"/>
    <row r="49" customFormat="false" ht="15" hidden="true" customHeight="false" outlineLevel="0" collapsed="false"/>
    <row r="50" customFormat="false" ht="15" hidden="true" customHeight="false" outlineLevel="0" collapsed="false"/>
    <row r="51" customFormat="false" ht="15" hidden="true" customHeight="false" outlineLevel="0" collapsed="false"/>
    <row r="52" customFormat="false" ht="15" hidden="true" customHeight="false" outlineLevel="0" collapsed="false"/>
    <row r="53" customFormat="false" ht="15" hidden="true" customHeight="false" outlineLevel="0" collapsed="false"/>
    <row r="54" customFormat="false" ht="15" hidden="true" customHeight="false" outlineLevel="0" collapsed="false"/>
    <row r="55" customFormat="false" ht="15" hidden="true" customHeight="false" outlineLevel="0" collapsed="false"/>
    <row r="56" customFormat="false" ht="15" hidden="true" customHeight="false" outlineLevel="0" collapsed="false"/>
    <row r="57" customFormat="false" ht="15" hidden="true" customHeight="false" outlineLevel="0" collapsed="false"/>
    <row r="58" customFormat="false" ht="15" hidden="true" customHeight="false" outlineLevel="0" collapsed="false"/>
    <row r="59" customFormat="false" ht="15" hidden="true" customHeight="false" outlineLevel="0" collapsed="false"/>
    <row r="60" customFormat="false" ht="15" hidden="true" customHeight="false" outlineLevel="0" collapsed="false"/>
    <row r="61" customFormat="false" ht="15" hidden="true" customHeight="false" outlineLevel="0" collapsed="false"/>
    <row r="62" customFormat="false" ht="15" hidden="true" customHeight="false" outlineLevel="0" collapsed="false"/>
    <row r="63" customFormat="false" ht="15" hidden="true" customHeight="false" outlineLevel="0" collapsed="false"/>
    <row r="64" customFormat="false" ht="15" hidden="true" customHeight="false" outlineLevel="0" collapsed="false"/>
    <row r="65" customFormat="false" ht="15" hidden="true" customHeight="false" outlineLevel="0" collapsed="false"/>
    <row r="66" customFormat="false" ht="15" hidden="true" customHeight="false" outlineLevel="0" collapsed="false"/>
    <row r="67" customFormat="false" ht="15" hidden="true" customHeight="false" outlineLevel="0" collapsed="false"/>
    <row r="68" customFormat="false" ht="15" hidden="true" customHeight="false" outlineLevel="0" collapsed="false"/>
    <row r="69" customFormat="false" ht="15" hidden="true" customHeight="false" outlineLevel="0" collapsed="false"/>
    <row r="70" customFormat="false" ht="15" hidden="true" customHeight="false" outlineLevel="0" collapsed="false"/>
    <row r="71" customFormat="false" ht="15" hidden="true" customHeight="false" outlineLevel="0" collapsed="false"/>
    <row r="72" customFormat="false" ht="15" hidden="true" customHeight="false" outlineLevel="0" collapsed="false"/>
    <row r="73" customFormat="false" ht="15" hidden="true" customHeight="false" outlineLevel="0" collapsed="false"/>
    <row r="74" customFormat="false" ht="15" hidden="true" customHeight="false" outlineLevel="0" collapsed="false"/>
    <row r="75" customFormat="false" ht="15" hidden="true" customHeight="false" outlineLevel="0" collapsed="false"/>
    <row r="76" customFormat="false" ht="15" hidden="true" customHeight="false" outlineLevel="0" collapsed="false"/>
    <row r="77" customFormat="false" ht="15" hidden="true" customHeight="false" outlineLevel="0" collapsed="false"/>
    <row r="78" customFormat="false" ht="15" hidden="true" customHeight="false" outlineLevel="0" collapsed="false"/>
    <row r="79" customFormat="false" ht="15" hidden="true" customHeight="false" outlineLevel="0" collapsed="false"/>
    <row r="80" customFormat="false" ht="15" hidden="true" customHeight="false" outlineLevel="0" collapsed="false"/>
    <row r="81" customFormat="false" ht="15" hidden="true" customHeight="false" outlineLevel="0" collapsed="false"/>
    <row r="82" customFormat="false" ht="15" hidden="true" customHeight="false" outlineLevel="0" collapsed="false"/>
    <row r="83" customFormat="false" ht="15" hidden="true" customHeight="false" outlineLevel="0" collapsed="false"/>
    <row r="84" customFormat="false" ht="15" hidden="true" customHeight="false" outlineLevel="0" collapsed="false"/>
    <row r="85" customFormat="false" ht="15" hidden="true" customHeight="false" outlineLevel="0" collapsed="false"/>
    <row r="86" customFormat="false" ht="15" hidden="true" customHeight="false" outlineLevel="0" collapsed="false"/>
    <row r="87" customFormat="false" ht="15" hidden="true" customHeight="false" outlineLevel="0" collapsed="false"/>
    <row r="88" customFormat="false" ht="15" hidden="true" customHeight="false" outlineLevel="0" collapsed="false"/>
    <row r="89" customFormat="false" ht="15" hidden="true" customHeight="false" outlineLevel="0" collapsed="false"/>
    <row r="90" customFormat="false" ht="15" hidden="true" customHeight="false" outlineLevel="0" collapsed="false"/>
    <row r="91" customFormat="false" ht="15" hidden="true" customHeight="false" outlineLevel="0" collapsed="false"/>
    <row r="92" customFormat="false" ht="15" hidden="true" customHeight="false" outlineLevel="0" collapsed="false"/>
    <row r="93" customFormat="false" ht="15" hidden="true" customHeight="false" outlineLevel="0" collapsed="false"/>
    <row r="94" customFormat="false" ht="15" hidden="true" customHeight="false" outlineLevel="0" collapsed="false"/>
    <row r="95" customFormat="false" ht="15" hidden="true" customHeight="false" outlineLevel="0" collapsed="false"/>
    <row r="96" customFormat="false" ht="15" hidden="true" customHeight="false" outlineLevel="0" collapsed="false"/>
    <row r="97" customFormat="false" ht="15" hidden="true" customHeight="false" outlineLevel="0" collapsed="false"/>
    <row r="98" customFormat="false" ht="15" hidden="true" customHeight="false" outlineLevel="0" collapsed="false"/>
    <row r="99" customFormat="false" ht="15" hidden="true" customHeight="false" outlineLevel="0" collapsed="false"/>
    <row r="100" customFormat="false" ht="15" hidden="true" customHeight="false" outlineLevel="0" collapsed="false"/>
    <row r="101" customFormat="false" ht="15" hidden="true" customHeight="false" outlineLevel="0" collapsed="false"/>
    <row r="102" customFormat="false" ht="15" hidden="true" customHeight="false" outlineLevel="0" collapsed="false"/>
    <row r="103" customFormat="false" ht="15" hidden="true" customHeight="false" outlineLevel="0" collapsed="false"/>
    <row r="104" customFormat="false" ht="15" hidden="true" customHeight="false" outlineLevel="0" collapsed="false"/>
    <row r="105" customFormat="false" ht="15" hidden="true" customHeight="false" outlineLevel="0" collapsed="false"/>
    <row r="106" customFormat="false" ht="15" hidden="true" customHeight="false" outlineLevel="0" collapsed="false"/>
    <row r="107" customFormat="false" ht="15" hidden="true" customHeight="false" outlineLevel="0" collapsed="false"/>
    <row r="108" customFormat="false" ht="15" hidden="true" customHeight="false" outlineLevel="0" collapsed="false"/>
    <row r="109" customFormat="false" ht="15" hidden="true" customHeight="false" outlineLevel="0" collapsed="false"/>
    <row r="110" customFormat="false" ht="15" hidden="true" customHeight="false" outlineLevel="0" collapsed="false"/>
    <row r="111" customFormat="false" ht="15" hidden="true" customHeight="false" outlineLevel="0" collapsed="false"/>
    <row r="112" customFormat="false" ht="15" hidden="true" customHeight="false" outlineLevel="0" collapsed="false"/>
    <row r="113" customFormat="false" ht="15" hidden="true" customHeight="false" outlineLevel="0" collapsed="false"/>
    <row r="114" customFormat="false" ht="15" hidden="true" customHeight="false" outlineLevel="0" collapsed="false"/>
    <row r="115" customFormat="false" ht="15" hidden="true" customHeight="false" outlineLevel="0" collapsed="false"/>
    <row r="116" customFormat="false" ht="15" hidden="true" customHeight="false" outlineLevel="0" collapsed="false"/>
    <row r="117" customFormat="false" ht="15" hidden="true" customHeight="false" outlineLevel="0" collapsed="false"/>
    <row r="118" customFormat="false" ht="15" hidden="true" customHeight="false" outlineLevel="0" collapsed="false"/>
    <row r="119" customFormat="false" ht="15" hidden="true" customHeight="false" outlineLevel="0" collapsed="false"/>
    <row r="120" customFormat="false" ht="15" hidden="true" customHeight="false" outlineLevel="0" collapsed="false"/>
    <row r="121" customFormat="false" ht="15" hidden="true" customHeight="false" outlineLevel="0" collapsed="false"/>
    <row r="122" customFormat="false" ht="15" hidden="true" customHeight="false" outlineLevel="0" collapsed="false"/>
    <row r="123" customFormat="false" ht="15" hidden="true" customHeight="false" outlineLevel="0" collapsed="false"/>
    <row r="124" customFormat="false" ht="15" hidden="true" customHeight="false" outlineLevel="0" collapsed="false"/>
    <row r="125" customFormat="false" ht="15" hidden="true" customHeight="false" outlineLevel="0" collapsed="false"/>
    <row r="126" customFormat="false" ht="15" hidden="true" customHeight="false" outlineLevel="0" collapsed="false"/>
    <row r="127" customFormat="false" ht="15" hidden="true" customHeight="false" outlineLevel="0" collapsed="false"/>
    <row r="128" customFormat="false" ht="15" hidden="true" customHeight="false" outlineLevel="0" collapsed="false"/>
    <row r="129" customFormat="false" ht="15" hidden="true" customHeight="false" outlineLevel="0" collapsed="false"/>
    <row r="130" customFormat="false" ht="15" hidden="true" customHeight="false" outlineLevel="0" collapsed="false"/>
    <row r="131" customFormat="false" ht="15" hidden="true" customHeight="false" outlineLevel="0" collapsed="false"/>
    <row r="132" customFormat="false" ht="15" hidden="true" customHeight="false" outlineLevel="0" collapsed="false"/>
    <row r="133" customFormat="false" ht="15" hidden="true" customHeight="false" outlineLevel="0" collapsed="false"/>
    <row r="134" customFormat="false" ht="15" hidden="true" customHeight="false" outlineLevel="0" collapsed="false"/>
    <row r="135" customFormat="false" ht="15" hidden="true" customHeight="false" outlineLevel="0" collapsed="false"/>
    <row r="136" customFormat="false" ht="15" hidden="true" customHeight="false" outlineLevel="0" collapsed="false"/>
    <row r="137" customFormat="false" ht="15" hidden="true" customHeight="false" outlineLevel="0" collapsed="false"/>
    <row r="138" customFormat="false" ht="15" hidden="true" customHeight="false" outlineLevel="0" collapsed="false"/>
    <row r="139" customFormat="false" ht="15" hidden="true" customHeight="false" outlineLevel="0" collapsed="false"/>
  </sheetData>
  <mergeCells count="2">
    <mergeCell ref="B32:C33"/>
    <mergeCell ref="B37:C37"/>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 ref="B37" r:id="rId5" location="'02_Executive_Dashboard'!B2" display="▶  OPEN FULL DASHBOARD"/>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E7FA6"/>
    <pageSetUpPr fitToPage="false"/>
  </sheetPr>
  <dimension ref="B2:I35"/>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B2" activeCellId="0" sqref="B2"/>
    </sheetView>
  </sheetViews>
  <sheetFormatPr defaultColWidth="8.6796875" defaultRowHeight="15" zeroHeight="false" outlineLevelRow="0" outlineLevelCol="0"/>
  <cols>
    <col collapsed="false" customWidth="true" hidden="false" outlineLevel="0" max="10" min="2" style="0" width="15"/>
    <col collapsed="false" customWidth="true" hidden="true" outlineLevel="0" max="39" min="12" style="0" width="13"/>
  </cols>
  <sheetData>
    <row r="2" customFormat="false" ht="24" hidden="false" customHeight="true" outlineLevel="0" collapsed="false">
      <c r="E2" s="11" t="s">
        <v>147</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148</v>
      </c>
    </row>
    <row r="6" customFormat="false" ht="15" hidden="false" customHeight="false" outlineLevel="0" collapsed="false">
      <c r="B6" s="15" t="s">
        <v>149</v>
      </c>
    </row>
    <row r="9" customFormat="false" ht="16.5" hidden="false" customHeight="true" outlineLevel="0" collapsed="false">
      <c r="B9" s="37" t="s">
        <v>150</v>
      </c>
      <c r="C9" s="37"/>
      <c r="D9" s="37"/>
      <c r="E9" s="37"/>
      <c r="F9" s="37"/>
    </row>
    <row r="10" customFormat="false" ht="16.5" hidden="false" customHeight="true" outlineLevel="0" collapsed="false">
      <c r="B10" s="37"/>
      <c r="C10" s="37"/>
      <c r="D10" s="37"/>
      <c r="E10" s="37"/>
      <c r="F10" s="37"/>
    </row>
    <row r="11" customFormat="false" ht="15" hidden="false" customHeight="false" outlineLevel="0" collapsed="false">
      <c r="C11" s="38" t="s">
        <v>151</v>
      </c>
    </row>
    <row r="12" customFormat="false" ht="16.5" hidden="false" customHeight="true" outlineLevel="0" collapsed="false">
      <c r="B12" s="37" t="s">
        <v>152</v>
      </c>
      <c r="C12" s="37"/>
      <c r="D12" s="37"/>
      <c r="E12" s="37"/>
      <c r="F12" s="37"/>
    </row>
    <row r="13" customFormat="false" ht="16.5" hidden="false" customHeight="true" outlineLevel="0" collapsed="false">
      <c r="B13" s="37"/>
      <c r="C13" s="37"/>
      <c r="D13" s="37"/>
      <c r="E13" s="37"/>
      <c r="F13" s="37"/>
    </row>
    <row r="14" customFormat="false" ht="15" hidden="false" customHeight="false" outlineLevel="0" collapsed="false">
      <c r="C14" s="38" t="s">
        <v>151</v>
      </c>
    </row>
    <row r="15" customFormat="false" ht="16.5" hidden="false" customHeight="true" outlineLevel="0" collapsed="false">
      <c r="B15" s="21" t="s">
        <v>153</v>
      </c>
      <c r="C15" s="21"/>
      <c r="D15" s="21"/>
      <c r="E15" s="21"/>
      <c r="F15" s="21"/>
    </row>
    <row r="16" customFormat="false" ht="16.5" hidden="false" customHeight="true" outlineLevel="0" collapsed="false">
      <c r="B16" s="21"/>
      <c r="C16" s="21"/>
      <c r="D16" s="21"/>
      <c r="E16" s="21"/>
      <c r="F16" s="21"/>
    </row>
    <row r="17" customFormat="false" ht="15" hidden="false" customHeight="false" outlineLevel="0" collapsed="false">
      <c r="C17" s="38" t="s">
        <v>151</v>
      </c>
    </row>
    <row r="18" customFormat="false" ht="16.5" hidden="false" customHeight="true" outlineLevel="0" collapsed="false">
      <c r="B18" s="21" t="s">
        <v>154</v>
      </c>
      <c r="C18" s="21"/>
      <c r="D18" s="21"/>
      <c r="E18" s="21"/>
      <c r="F18" s="21"/>
    </row>
    <row r="19" customFormat="false" ht="16.5" hidden="false" customHeight="true" outlineLevel="0" collapsed="false">
      <c r="B19" s="21"/>
      <c r="C19" s="21"/>
      <c r="D19" s="21"/>
      <c r="E19" s="21"/>
      <c r="F19" s="21"/>
    </row>
    <row r="20" customFormat="false" ht="15" hidden="false" customHeight="false" outlineLevel="0" collapsed="false">
      <c r="C20" s="38" t="s">
        <v>151</v>
      </c>
    </row>
    <row r="21" customFormat="false" ht="16.5" hidden="false" customHeight="true" outlineLevel="0" collapsed="false">
      <c r="B21" s="21" t="s">
        <v>155</v>
      </c>
      <c r="C21" s="21"/>
      <c r="D21" s="21"/>
      <c r="E21" s="21"/>
      <c r="F21" s="21"/>
    </row>
    <row r="22" customFormat="false" ht="16.5" hidden="false" customHeight="true" outlineLevel="0" collapsed="false">
      <c r="B22" s="21"/>
      <c r="C22" s="21"/>
      <c r="D22" s="21"/>
      <c r="E22" s="21"/>
      <c r="F22" s="21"/>
    </row>
    <row r="23" customFormat="false" ht="15" hidden="false" customHeight="false" outlineLevel="0" collapsed="false">
      <c r="C23" s="38" t="s">
        <v>151</v>
      </c>
    </row>
    <row r="24" customFormat="false" ht="16.5" hidden="false" customHeight="true" outlineLevel="0" collapsed="false">
      <c r="B24" s="21" t="s">
        <v>156</v>
      </c>
      <c r="C24" s="21"/>
      <c r="D24" s="21"/>
      <c r="E24" s="21"/>
      <c r="F24" s="21"/>
    </row>
    <row r="25" customFormat="false" ht="16.5" hidden="false" customHeight="true" outlineLevel="0" collapsed="false">
      <c r="B25" s="21"/>
      <c r="C25" s="21"/>
      <c r="D25" s="21"/>
      <c r="E25" s="21"/>
      <c r="F25" s="21"/>
    </row>
    <row r="26" customFormat="false" ht="15" hidden="false" customHeight="false" outlineLevel="0" collapsed="false">
      <c r="C26" s="38" t="s">
        <v>151</v>
      </c>
    </row>
    <row r="27" customFormat="false" ht="16.5" hidden="false" customHeight="true" outlineLevel="0" collapsed="false">
      <c r="B27" s="37" t="s">
        <v>157</v>
      </c>
      <c r="C27" s="37"/>
      <c r="D27" s="37"/>
      <c r="E27" s="37"/>
      <c r="F27" s="37"/>
    </row>
    <row r="28" customFormat="false" ht="16.5" hidden="false" customHeight="true" outlineLevel="0" collapsed="false">
      <c r="B28" s="37"/>
      <c r="C28" s="37"/>
      <c r="D28" s="37"/>
      <c r="E28" s="37"/>
      <c r="F28" s="37"/>
    </row>
    <row r="29" customFormat="false" ht="15" hidden="false" customHeight="false" outlineLevel="0" collapsed="false">
      <c r="C29" s="38" t="s">
        <v>151</v>
      </c>
    </row>
    <row r="30" customFormat="false" ht="16.5" hidden="false" customHeight="true" outlineLevel="0" collapsed="false">
      <c r="B30" s="37" t="s">
        <v>158</v>
      </c>
      <c r="C30" s="37"/>
      <c r="D30" s="37"/>
      <c r="E30" s="37"/>
      <c r="F30" s="37"/>
    </row>
    <row r="31" customFormat="false" ht="16.5" hidden="false" customHeight="true" outlineLevel="0" collapsed="false">
      <c r="B31" s="37"/>
      <c r="C31" s="37"/>
      <c r="D31" s="37"/>
      <c r="E31" s="37"/>
      <c r="F31" s="37"/>
    </row>
    <row r="34" customFormat="false" ht="15" hidden="false" customHeight="true" outlineLevel="0" collapsed="false">
      <c r="B34" s="34" t="s">
        <v>159</v>
      </c>
      <c r="C34" s="34"/>
      <c r="D34" s="34"/>
      <c r="E34" s="34"/>
      <c r="F34" s="34"/>
      <c r="G34" s="34"/>
      <c r="H34" s="34"/>
      <c r="I34" s="34"/>
    </row>
    <row r="35" customFormat="false" ht="15" hidden="false" customHeight="false" outlineLevel="0" collapsed="false">
      <c r="B35" s="34"/>
      <c r="C35" s="34"/>
      <c r="D35" s="34"/>
      <c r="E35" s="34"/>
      <c r="F35" s="34"/>
      <c r="G35" s="34"/>
      <c r="H35" s="34"/>
      <c r="I35" s="34"/>
    </row>
  </sheetData>
  <mergeCells count="9">
    <mergeCell ref="B9:F10"/>
    <mergeCell ref="B12:F13"/>
    <mergeCell ref="B15:F16"/>
    <mergeCell ref="B18:F19"/>
    <mergeCell ref="B21:F22"/>
    <mergeCell ref="B24:F25"/>
    <mergeCell ref="B27:F28"/>
    <mergeCell ref="B30:F31"/>
    <mergeCell ref="B34:I35"/>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AEC6"/>
    <pageSetUpPr fitToPage="false"/>
  </sheetPr>
  <dimension ref="B2:H42"/>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7" topLeftCell="A8"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2" min="2" style="0" width="34"/>
    <col collapsed="false" customWidth="true" hidden="false" outlineLevel="0" max="6" min="3" style="0" width="15"/>
  </cols>
  <sheetData>
    <row r="2" customFormat="false" ht="24" hidden="false" customHeight="true" outlineLevel="0" collapsed="false">
      <c r="E2" s="11" t="s">
        <v>160</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161</v>
      </c>
    </row>
    <row r="6" customFormat="false" ht="15" hidden="false" customHeight="false" outlineLevel="0" collapsed="false">
      <c r="B6" s="15" t="s">
        <v>162</v>
      </c>
    </row>
    <row r="8" customFormat="false" ht="19.5" hidden="false" customHeight="true" outlineLevel="0" collapsed="false">
      <c r="B8" s="21" t="s">
        <v>163</v>
      </c>
      <c r="C8" s="21"/>
      <c r="D8" s="21"/>
      <c r="E8" s="21"/>
      <c r="F8" s="21"/>
    </row>
    <row r="9" customFormat="false" ht="15" hidden="false" customHeight="false" outlineLevel="0" collapsed="false">
      <c r="B9" s="39" t="s">
        <v>164</v>
      </c>
      <c r="C9" s="40" t="s">
        <v>129</v>
      </c>
      <c r="D9" s="15" t="s">
        <v>165</v>
      </c>
    </row>
    <row r="11" customFormat="false" ht="19.5" hidden="false" customHeight="true" outlineLevel="0" collapsed="false">
      <c r="B11" s="21" t="s">
        <v>166</v>
      </c>
      <c r="C11" s="21"/>
      <c r="D11" s="21"/>
      <c r="E11" s="21"/>
      <c r="F11" s="21"/>
    </row>
    <row r="12" customFormat="false" ht="19.5" hidden="false" customHeight="true" outlineLevel="0" collapsed="false">
      <c r="B12" s="41" t="s">
        <v>167</v>
      </c>
      <c r="C12" s="41" t="s">
        <v>128</v>
      </c>
      <c r="D12" s="41" t="s">
        <v>129</v>
      </c>
      <c r="E12" s="41" t="s">
        <v>130</v>
      </c>
    </row>
    <row r="13" customFormat="false" ht="15" hidden="false" customHeight="false" outlineLevel="0" collapsed="false">
      <c r="B13" s="42" t="s">
        <v>168</v>
      </c>
      <c r="C13" s="42" t="s">
        <v>169</v>
      </c>
      <c r="D13" s="43" t="s">
        <v>169</v>
      </c>
      <c r="E13" s="42" t="s">
        <v>169</v>
      </c>
    </row>
    <row r="14" customFormat="false" ht="15" hidden="false" customHeight="false" outlineLevel="0" collapsed="false">
      <c r="B14" s="42" t="s">
        <v>170</v>
      </c>
      <c r="C14" s="42" t="n">
        <v>7.7</v>
      </c>
      <c r="D14" s="43" t="n">
        <v>7</v>
      </c>
      <c r="E14" s="42" t="n">
        <v>6.6</v>
      </c>
    </row>
    <row r="15" customFormat="false" ht="15" hidden="false" customHeight="false" outlineLevel="0" collapsed="false">
      <c r="B15" s="42" t="s">
        <v>171</v>
      </c>
      <c r="C15" s="42" t="n">
        <v>62</v>
      </c>
      <c r="D15" s="43" t="n">
        <v>55</v>
      </c>
      <c r="E15" s="42" t="n">
        <v>50</v>
      </c>
    </row>
    <row r="16" customFormat="false" ht="15" hidden="false" customHeight="false" outlineLevel="0" collapsed="false">
      <c r="B16" s="42" t="s">
        <v>172</v>
      </c>
      <c r="C16" s="42" t="s">
        <v>173</v>
      </c>
      <c r="D16" s="43" t="s">
        <v>174</v>
      </c>
      <c r="E16" s="42" t="s">
        <v>175</v>
      </c>
    </row>
    <row r="17" customFormat="false" ht="15" hidden="false" customHeight="false" outlineLevel="0" collapsed="false">
      <c r="B17" s="42" t="s">
        <v>176</v>
      </c>
      <c r="C17" s="42" t="s">
        <v>177</v>
      </c>
      <c r="D17" s="43" t="s">
        <v>174</v>
      </c>
      <c r="E17" s="42" t="s">
        <v>178</v>
      </c>
    </row>
    <row r="18" customFormat="false" ht="15" hidden="false" customHeight="false" outlineLevel="0" collapsed="false">
      <c r="B18" s="42" t="s">
        <v>179</v>
      </c>
      <c r="C18" s="44" t="n">
        <v>0.08</v>
      </c>
      <c r="D18" s="45" t="n">
        <v>0.06</v>
      </c>
      <c r="E18" s="44" t="n">
        <v>0.05</v>
      </c>
    </row>
    <row r="19" customFormat="false" ht="15" hidden="false" customHeight="false" outlineLevel="0" collapsed="false">
      <c r="B19" s="42" t="s">
        <v>180</v>
      </c>
      <c r="C19" s="42" t="n">
        <v>300</v>
      </c>
      <c r="D19" s="43" t="n">
        <v>250</v>
      </c>
      <c r="E19" s="42" t="n">
        <v>210</v>
      </c>
    </row>
    <row r="20" customFormat="false" ht="15" hidden="false" customHeight="false" outlineLevel="0" collapsed="false">
      <c r="B20" s="42" t="s">
        <v>181</v>
      </c>
      <c r="C20" s="42" t="s">
        <v>177</v>
      </c>
      <c r="D20" s="43" t="s">
        <v>174</v>
      </c>
      <c r="E20" s="42" t="s">
        <v>182</v>
      </c>
    </row>
    <row r="21" customFormat="false" ht="15" hidden="false" customHeight="false" outlineLevel="0" collapsed="false">
      <c r="B21" s="42" t="s">
        <v>183</v>
      </c>
      <c r="C21" s="42" t="n">
        <v>6</v>
      </c>
      <c r="D21" s="43" t="n">
        <v>8</v>
      </c>
      <c r="E21" s="42" t="n">
        <v>10</v>
      </c>
    </row>
    <row r="22" customFormat="false" ht="15" hidden="false" customHeight="false" outlineLevel="0" collapsed="false">
      <c r="B22" s="42" t="s">
        <v>184</v>
      </c>
      <c r="C22" s="42" t="s">
        <v>107</v>
      </c>
      <c r="D22" s="43" t="s">
        <v>103</v>
      </c>
      <c r="E22" s="42" t="s">
        <v>72</v>
      </c>
    </row>
    <row r="23" customFormat="false" ht="15" hidden="false" customHeight="false" outlineLevel="0" collapsed="false">
      <c r="B23" s="42" t="s">
        <v>185</v>
      </c>
      <c r="C23" s="42" t="n">
        <v>3</v>
      </c>
      <c r="D23" s="43" t="n">
        <v>4</v>
      </c>
      <c r="E23" s="42" t="n">
        <v>5</v>
      </c>
    </row>
    <row r="24" customFormat="false" ht="15" hidden="false" customHeight="false" outlineLevel="0" collapsed="false">
      <c r="B24" s="42" t="s">
        <v>186</v>
      </c>
      <c r="C24" s="42" t="s">
        <v>187</v>
      </c>
      <c r="D24" s="43" t="s">
        <v>187</v>
      </c>
      <c r="E24" s="42" t="s">
        <v>188</v>
      </c>
    </row>
    <row r="25" customFormat="false" ht="15" hidden="false" customHeight="false" outlineLevel="0" collapsed="false">
      <c r="B25" s="42" t="s">
        <v>189</v>
      </c>
      <c r="C25" s="42" t="s">
        <v>190</v>
      </c>
      <c r="D25" s="43" t="s">
        <v>190</v>
      </c>
      <c r="E25" s="42" t="s">
        <v>190</v>
      </c>
    </row>
    <row r="26" customFormat="false" ht="15" hidden="false" customHeight="false" outlineLevel="0" collapsed="false">
      <c r="B26" s="42" t="s">
        <v>191</v>
      </c>
      <c r="C26" s="42" t="s">
        <v>192</v>
      </c>
      <c r="D26" s="43" t="s">
        <v>174</v>
      </c>
      <c r="E26" s="42" t="s">
        <v>193</v>
      </c>
    </row>
    <row r="27" customFormat="false" ht="15" hidden="false" customHeight="false" outlineLevel="0" collapsed="false">
      <c r="B27" s="42" t="s">
        <v>194</v>
      </c>
      <c r="C27" s="42" t="s">
        <v>195</v>
      </c>
      <c r="D27" s="43" t="s">
        <v>174</v>
      </c>
      <c r="E27" s="42" t="s">
        <v>196</v>
      </c>
    </row>
    <row r="28" customFormat="false" ht="15" hidden="false" customHeight="false" outlineLevel="0" collapsed="false">
      <c r="B28" s="42" t="s">
        <v>197</v>
      </c>
      <c r="C28" s="42" t="n">
        <v>2</v>
      </c>
      <c r="D28" s="43" t="n">
        <v>2</v>
      </c>
      <c r="E28" s="42" t="n">
        <v>2</v>
      </c>
    </row>
    <row r="29" customFormat="false" ht="15" hidden="false" customHeight="false" outlineLevel="0" collapsed="false">
      <c r="B29" s="42" t="s">
        <v>198</v>
      </c>
      <c r="C29" s="42" t="n">
        <v>280</v>
      </c>
      <c r="D29" s="43" t="n">
        <v>280</v>
      </c>
      <c r="E29" s="42" t="n">
        <v>280</v>
      </c>
    </row>
    <row r="30" customFormat="false" ht="15" hidden="false" customHeight="false" outlineLevel="0" collapsed="false">
      <c r="B30" s="42" t="s">
        <v>199</v>
      </c>
      <c r="C30" s="42" t="s">
        <v>200</v>
      </c>
      <c r="D30" s="43" t="s">
        <v>201</v>
      </c>
      <c r="E30" s="42" t="s">
        <v>202</v>
      </c>
    </row>
    <row r="32" customFormat="false" ht="19.5" hidden="false" customHeight="true" outlineLevel="0" collapsed="false">
      <c r="B32" s="21" t="s">
        <v>203</v>
      </c>
      <c r="C32" s="21"/>
      <c r="D32" s="21"/>
      <c r="E32" s="21"/>
      <c r="F32" s="21"/>
    </row>
    <row r="33" customFormat="false" ht="19.5" hidden="false" customHeight="true" outlineLevel="0" collapsed="false">
      <c r="B33" s="41" t="s">
        <v>204</v>
      </c>
      <c r="C33" s="41" t="s">
        <v>128</v>
      </c>
      <c r="D33" s="41" t="s">
        <v>129</v>
      </c>
      <c r="E33" s="41" t="s">
        <v>130</v>
      </c>
    </row>
    <row r="34" customFormat="false" ht="15" hidden="false" customHeight="false" outlineLevel="0" collapsed="false">
      <c r="B34" s="42" t="s">
        <v>205</v>
      </c>
      <c r="C34" s="46" t="n">
        <v>22.258457</v>
      </c>
      <c r="D34" s="46" t="n">
        <v>32.001019</v>
      </c>
      <c r="E34" s="46" t="n">
        <v>42.886584</v>
      </c>
    </row>
    <row r="35" customFormat="false" ht="15" hidden="false" customHeight="false" outlineLevel="0" collapsed="false">
      <c r="B35" s="42" t="s">
        <v>206</v>
      </c>
      <c r="C35" s="46" t="n">
        <v>6.899838</v>
      </c>
      <c r="D35" s="46" t="n">
        <v>11.735288</v>
      </c>
      <c r="E35" s="46" t="n">
        <v>16.855835</v>
      </c>
    </row>
    <row r="36" customFormat="false" ht="15" hidden="false" customHeight="false" outlineLevel="0" collapsed="false">
      <c r="B36" s="42" t="s">
        <v>207</v>
      </c>
      <c r="C36" s="42" t="s">
        <v>208</v>
      </c>
      <c r="D36" s="42" t="n">
        <v>197</v>
      </c>
      <c r="E36" s="42" t="s">
        <v>208</v>
      </c>
    </row>
    <row r="37" customFormat="false" ht="15" hidden="false" customHeight="false" outlineLevel="0" collapsed="false">
      <c r="B37" s="42" t="s">
        <v>209</v>
      </c>
      <c r="C37" s="42" t="s">
        <v>101</v>
      </c>
      <c r="D37" s="42" t="s">
        <v>67</v>
      </c>
      <c r="E37" s="42" t="s">
        <v>98</v>
      </c>
    </row>
    <row r="38" customFormat="false" ht="15" hidden="false" customHeight="false" outlineLevel="0" collapsed="false">
      <c r="B38" s="42" t="s">
        <v>210</v>
      </c>
      <c r="C38" s="42" t="n">
        <v>645</v>
      </c>
      <c r="D38" s="42" t="n">
        <v>0</v>
      </c>
      <c r="E38" s="42" t="n">
        <v>0</v>
      </c>
    </row>
    <row r="39" customFormat="false" ht="15" hidden="false" customHeight="false" outlineLevel="0" collapsed="false">
      <c r="B39" s="42" t="s">
        <v>211</v>
      </c>
      <c r="C39" s="46" t="n">
        <v>34.5</v>
      </c>
      <c r="D39" s="46" t="n">
        <v>70.4</v>
      </c>
      <c r="E39" s="46" t="n">
        <v>134.8</v>
      </c>
    </row>
    <row r="41" customFormat="false" ht="15" hidden="false" customHeight="true" outlineLevel="0" collapsed="false">
      <c r="B41" s="34" t="s">
        <v>212</v>
      </c>
      <c r="C41" s="34"/>
      <c r="D41" s="34"/>
      <c r="E41" s="34"/>
      <c r="F41" s="34"/>
    </row>
    <row r="42" customFormat="false" ht="15" hidden="false" customHeight="false" outlineLevel="0" collapsed="false">
      <c r="B42" s="34"/>
      <c r="C42" s="34"/>
      <c r="D42" s="34"/>
      <c r="E42" s="34"/>
      <c r="F42" s="34"/>
    </row>
  </sheetData>
  <mergeCells count="4">
    <mergeCell ref="B8:F8"/>
    <mergeCell ref="B11:F11"/>
    <mergeCell ref="B32:F32"/>
    <mergeCell ref="B41:F42"/>
  </mergeCells>
  <dataValidations count="1">
    <dataValidation allowBlank="false" errorStyle="stop" operator="between" showDropDown="false" showErrorMessage="false" showInputMessage="false" sqref="C9" type="list">
      <formula1>"Downside,Base,Upside"</formula1>
      <formula2>0</formula2>
    </dataValidation>
  </dataValidation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AEC6"/>
    <pageSetUpPr fitToPage="false"/>
  </sheetPr>
  <dimension ref="B2:J65"/>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1" ySplit="7" topLeftCell="B8" activePane="bottomRight" state="frozen"/>
      <selection pane="topLeft" activeCell="A1" activeCellId="0" sqref="A1"/>
      <selection pane="topRight" activeCell="B1" activeCellId="0" sqref="B1"/>
      <selection pane="bottomLeft" activeCell="A8" activeCellId="0" sqref="A8"/>
      <selection pane="bottomRight" activeCell="A1" activeCellId="0" sqref="A1"/>
    </sheetView>
  </sheetViews>
  <sheetFormatPr defaultColWidth="8.6796875" defaultRowHeight="15" zeroHeight="false" outlineLevelRow="0" outlineLevelCol="0"/>
  <cols>
    <col collapsed="false" customWidth="true" hidden="false" outlineLevel="0" max="2" min="2" style="0" width="34"/>
    <col collapsed="false" customWidth="true" hidden="false" outlineLevel="0" max="3" min="3" style="0" width="11"/>
    <col collapsed="false" customWidth="true" hidden="false" outlineLevel="0" max="4" min="4" style="0" width="13"/>
    <col collapsed="false" customWidth="true" hidden="false" outlineLevel="0" max="5" min="5" style="0" width="22"/>
    <col collapsed="false" customWidth="true" hidden="false" outlineLevel="0" max="6" min="6" style="0" width="9"/>
    <col collapsed="false" customWidth="true" hidden="false" outlineLevel="0" max="7" min="7" style="0" width="20"/>
    <col collapsed="false" customWidth="true" hidden="false" outlineLevel="0" max="8" min="8" style="0" width="12"/>
    <col collapsed="false" customWidth="true" hidden="false" outlineLevel="0" max="9" min="9" style="0" width="9"/>
    <col collapsed="false" customWidth="true" hidden="false" outlineLevel="0" max="10" min="10" style="0" width="34"/>
  </cols>
  <sheetData>
    <row r="2" customFormat="false" ht="24" hidden="false" customHeight="true" outlineLevel="0" collapsed="false">
      <c r="E2" s="11" t="s">
        <v>213</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214</v>
      </c>
    </row>
    <row r="6" customFormat="false" ht="15" hidden="false" customHeight="false" outlineLevel="0" collapsed="false">
      <c r="B6" s="15" t="s">
        <v>215</v>
      </c>
    </row>
    <row r="8" customFormat="false" ht="19.5" hidden="false" customHeight="true" outlineLevel="0" collapsed="false">
      <c r="B8" s="21" t="s">
        <v>216</v>
      </c>
      <c r="C8" s="21"/>
      <c r="D8" s="21"/>
      <c r="E8" s="21"/>
      <c r="F8" s="21"/>
      <c r="G8" s="21"/>
      <c r="H8" s="21"/>
      <c r="I8" s="21"/>
      <c r="J8" s="21"/>
    </row>
    <row r="9" customFormat="false" ht="19.5" hidden="false" customHeight="true" outlineLevel="0" collapsed="false">
      <c r="B9" s="41" t="s">
        <v>217</v>
      </c>
      <c r="C9" s="41" t="s">
        <v>218</v>
      </c>
      <c r="D9" s="41" t="s">
        <v>219</v>
      </c>
      <c r="E9" s="41" t="s">
        <v>220</v>
      </c>
      <c r="F9" s="41" t="s">
        <v>221</v>
      </c>
      <c r="G9" s="41" t="s">
        <v>222</v>
      </c>
      <c r="H9" s="41" t="s">
        <v>223</v>
      </c>
      <c r="I9" s="41" t="s">
        <v>224</v>
      </c>
      <c r="J9" s="41" t="s">
        <v>225</v>
      </c>
    </row>
    <row r="10" customFormat="false" ht="15" hidden="false" customHeight="false" outlineLevel="0" collapsed="false">
      <c r="B10" s="47" t="s">
        <v>226</v>
      </c>
      <c r="C10" s="48" t="n">
        <v>0.15</v>
      </c>
      <c r="D10" s="49" t="s">
        <v>227</v>
      </c>
      <c r="E10" s="49" t="s">
        <v>228</v>
      </c>
      <c r="F10" s="49" t="s">
        <v>229</v>
      </c>
      <c r="G10" s="50" t="s">
        <v>230</v>
      </c>
      <c r="H10" s="49" t="s">
        <v>231</v>
      </c>
      <c r="I10" s="49" t="s">
        <v>229</v>
      </c>
      <c r="J10" s="47" t="s">
        <v>232</v>
      </c>
    </row>
    <row r="11" customFormat="false" ht="15" hidden="false" customHeight="false" outlineLevel="0" collapsed="false">
      <c r="B11" s="47" t="s">
        <v>233</v>
      </c>
      <c r="C11" s="48" t="n">
        <v>0.22</v>
      </c>
      <c r="D11" s="49" t="s">
        <v>227</v>
      </c>
      <c r="E11" s="49" t="s">
        <v>234</v>
      </c>
      <c r="F11" s="49" t="s">
        <v>229</v>
      </c>
      <c r="G11" s="50" t="s">
        <v>230</v>
      </c>
      <c r="H11" s="49" t="s">
        <v>231</v>
      </c>
      <c r="I11" s="49" t="s">
        <v>229</v>
      </c>
      <c r="J11" s="47" t="s">
        <v>235</v>
      </c>
    </row>
    <row r="12" customFormat="false" ht="15" hidden="false" customHeight="false" outlineLevel="0" collapsed="false">
      <c r="B12" s="47" t="s">
        <v>236</v>
      </c>
      <c r="C12" s="51" t="n">
        <v>10.6</v>
      </c>
      <c r="D12" s="49" t="s">
        <v>83</v>
      </c>
      <c r="E12" s="49" t="s">
        <v>237</v>
      </c>
      <c r="F12" s="49" t="s">
        <v>229</v>
      </c>
      <c r="G12" s="50" t="s">
        <v>230</v>
      </c>
      <c r="H12" s="49" t="s">
        <v>231</v>
      </c>
      <c r="I12" s="49" t="s">
        <v>229</v>
      </c>
      <c r="J12" s="47" t="s">
        <v>238</v>
      </c>
    </row>
    <row r="14" customFormat="false" ht="19.5" hidden="false" customHeight="true" outlineLevel="0" collapsed="false">
      <c r="B14" s="21" t="s">
        <v>239</v>
      </c>
      <c r="C14" s="21"/>
      <c r="D14" s="21"/>
      <c r="E14" s="21"/>
      <c r="F14" s="21"/>
      <c r="G14" s="21"/>
      <c r="H14" s="21"/>
      <c r="I14" s="21"/>
      <c r="J14" s="21"/>
    </row>
    <row r="15" customFormat="false" ht="19.5" hidden="false" customHeight="true" outlineLevel="0" collapsed="false">
      <c r="B15" s="41" t="s">
        <v>217</v>
      </c>
      <c r="C15" s="41" t="s">
        <v>218</v>
      </c>
      <c r="D15" s="41" t="s">
        <v>219</v>
      </c>
      <c r="E15" s="41" t="s">
        <v>220</v>
      </c>
      <c r="F15" s="41" t="s">
        <v>221</v>
      </c>
      <c r="G15" s="41" t="s">
        <v>222</v>
      </c>
      <c r="H15" s="41" t="s">
        <v>223</v>
      </c>
      <c r="I15" s="41" t="s">
        <v>224</v>
      </c>
      <c r="J15" s="41" t="s">
        <v>225</v>
      </c>
    </row>
    <row r="16" customFormat="false" ht="15" hidden="false" customHeight="false" outlineLevel="0" collapsed="false">
      <c r="B16" s="47" t="s">
        <v>240</v>
      </c>
      <c r="C16" s="51" t="n">
        <v>8.5</v>
      </c>
      <c r="D16" s="49" t="s">
        <v>241</v>
      </c>
      <c r="E16" s="49" t="s">
        <v>242</v>
      </c>
      <c r="F16" s="49" t="s">
        <v>243</v>
      </c>
      <c r="G16" s="50" t="s">
        <v>244</v>
      </c>
      <c r="H16" s="49" t="s">
        <v>231</v>
      </c>
      <c r="I16" s="49" t="s">
        <v>229</v>
      </c>
      <c r="J16" s="47" t="s">
        <v>245</v>
      </c>
    </row>
    <row r="17" customFormat="false" ht="15" hidden="false" customHeight="false" outlineLevel="0" collapsed="false">
      <c r="B17" s="47" t="s">
        <v>246</v>
      </c>
      <c r="C17" s="51" t="n">
        <v>7</v>
      </c>
      <c r="D17" s="49" t="s">
        <v>241</v>
      </c>
      <c r="E17" s="49" t="s">
        <v>242</v>
      </c>
      <c r="F17" s="49" t="s">
        <v>243</v>
      </c>
      <c r="G17" s="50" t="s">
        <v>244</v>
      </c>
      <c r="H17" s="49" t="s">
        <v>231</v>
      </c>
      <c r="I17" s="49" t="s">
        <v>229</v>
      </c>
      <c r="J17" s="47" t="s">
        <v>247</v>
      </c>
    </row>
    <row r="18" customFormat="false" ht="15" hidden="false" customHeight="false" outlineLevel="0" collapsed="false">
      <c r="B18" s="47" t="s">
        <v>248</v>
      </c>
      <c r="C18" s="51" t="s">
        <v>249</v>
      </c>
      <c r="D18" s="49" t="s">
        <v>241</v>
      </c>
      <c r="E18" s="49" t="s">
        <v>242</v>
      </c>
      <c r="F18" s="49" t="s">
        <v>243</v>
      </c>
      <c r="G18" s="50" t="s">
        <v>244</v>
      </c>
      <c r="H18" s="49" t="s">
        <v>231</v>
      </c>
      <c r="I18" s="49" t="s">
        <v>229</v>
      </c>
      <c r="J18" s="47"/>
    </row>
    <row r="20" customFormat="false" ht="19.5" hidden="false" customHeight="true" outlineLevel="0" collapsed="false">
      <c r="B20" s="21" t="s">
        <v>250</v>
      </c>
      <c r="C20" s="21"/>
      <c r="D20" s="21"/>
      <c r="E20" s="21"/>
      <c r="F20" s="21"/>
      <c r="G20" s="21"/>
      <c r="H20" s="21"/>
      <c r="I20" s="21"/>
      <c r="J20" s="21"/>
    </row>
    <row r="21" customFormat="false" ht="19.5" hidden="false" customHeight="true" outlineLevel="0" collapsed="false">
      <c r="B21" s="41" t="s">
        <v>217</v>
      </c>
      <c r="C21" s="41" t="s">
        <v>218</v>
      </c>
      <c r="D21" s="41" t="s">
        <v>219</v>
      </c>
      <c r="E21" s="41" t="s">
        <v>220</v>
      </c>
      <c r="F21" s="41" t="s">
        <v>221</v>
      </c>
      <c r="G21" s="41" t="s">
        <v>222</v>
      </c>
      <c r="H21" s="41" t="s">
        <v>223</v>
      </c>
      <c r="I21" s="41" t="s">
        <v>224</v>
      </c>
      <c r="J21" s="41" t="s">
        <v>225</v>
      </c>
    </row>
    <row r="22" customFormat="false" ht="15" hidden="false" customHeight="false" outlineLevel="0" collapsed="false">
      <c r="B22" s="47" t="s">
        <v>251</v>
      </c>
      <c r="C22" s="51" t="n">
        <v>55</v>
      </c>
      <c r="D22" s="49" t="s">
        <v>252</v>
      </c>
      <c r="E22" s="49" t="s">
        <v>253</v>
      </c>
      <c r="F22" s="49" t="s">
        <v>243</v>
      </c>
      <c r="G22" s="50" t="s">
        <v>244</v>
      </c>
      <c r="H22" s="49" t="s">
        <v>231</v>
      </c>
      <c r="I22" s="49" t="s">
        <v>229</v>
      </c>
      <c r="J22" s="47" t="s">
        <v>254</v>
      </c>
    </row>
    <row r="23" customFormat="false" ht="15" hidden="false" customHeight="false" outlineLevel="0" collapsed="false">
      <c r="B23" s="47" t="s">
        <v>255</v>
      </c>
      <c r="C23" s="51" t="s">
        <v>256</v>
      </c>
      <c r="D23" s="49" t="s">
        <v>257</v>
      </c>
      <c r="E23" s="49" t="s">
        <v>253</v>
      </c>
      <c r="F23" s="49" t="s">
        <v>243</v>
      </c>
      <c r="G23" s="50" t="s">
        <v>244</v>
      </c>
      <c r="H23" s="49" t="s">
        <v>231</v>
      </c>
      <c r="I23" s="49" t="s">
        <v>229</v>
      </c>
      <c r="J23" s="47" t="s">
        <v>258</v>
      </c>
    </row>
    <row r="25" customFormat="false" ht="19.5" hidden="false" customHeight="true" outlineLevel="0" collapsed="false">
      <c r="B25" s="21" t="s">
        <v>259</v>
      </c>
      <c r="C25" s="21"/>
      <c r="D25" s="21"/>
      <c r="E25" s="21"/>
      <c r="F25" s="21"/>
      <c r="G25" s="21"/>
      <c r="H25" s="21"/>
      <c r="I25" s="21"/>
      <c r="J25" s="21"/>
    </row>
    <row r="26" customFormat="false" ht="19.5" hidden="false" customHeight="true" outlineLevel="0" collapsed="false">
      <c r="B26" s="41" t="s">
        <v>217</v>
      </c>
      <c r="C26" s="41" t="s">
        <v>218</v>
      </c>
      <c r="D26" s="41" t="s">
        <v>219</v>
      </c>
      <c r="E26" s="41" t="s">
        <v>220</v>
      </c>
      <c r="F26" s="41" t="s">
        <v>221</v>
      </c>
      <c r="G26" s="41" t="s">
        <v>222</v>
      </c>
      <c r="H26" s="41" t="s">
        <v>223</v>
      </c>
      <c r="I26" s="41" t="s">
        <v>224</v>
      </c>
      <c r="J26" s="41" t="s">
        <v>225</v>
      </c>
    </row>
    <row r="27" customFormat="false" ht="15" hidden="false" customHeight="false" outlineLevel="0" collapsed="false">
      <c r="B27" s="47" t="s">
        <v>260</v>
      </c>
      <c r="C27" s="51" t="n">
        <v>4</v>
      </c>
      <c r="D27" s="49" t="s">
        <v>241</v>
      </c>
      <c r="E27" s="49" t="s">
        <v>261</v>
      </c>
      <c r="F27" s="49" t="s">
        <v>243</v>
      </c>
      <c r="G27" s="50" t="s">
        <v>244</v>
      </c>
      <c r="H27" s="49" t="s">
        <v>231</v>
      </c>
      <c r="I27" s="49" t="s">
        <v>229</v>
      </c>
      <c r="J27" s="47" t="s">
        <v>262</v>
      </c>
    </row>
    <row r="28" customFormat="false" ht="15" hidden="false" customHeight="false" outlineLevel="0" collapsed="false">
      <c r="B28" s="47" t="s">
        <v>263</v>
      </c>
      <c r="C28" s="51" t="n">
        <v>6.5</v>
      </c>
      <c r="D28" s="49" t="s">
        <v>241</v>
      </c>
      <c r="E28" s="49" t="s">
        <v>261</v>
      </c>
      <c r="F28" s="49" t="s">
        <v>243</v>
      </c>
      <c r="G28" s="50" t="s">
        <v>244</v>
      </c>
      <c r="H28" s="49" t="s">
        <v>231</v>
      </c>
      <c r="I28" s="49" t="s">
        <v>229</v>
      </c>
      <c r="J28" s="47"/>
    </row>
    <row r="30" customFormat="false" ht="19.5" hidden="false" customHeight="true" outlineLevel="0" collapsed="false">
      <c r="B30" s="21" t="s">
        <v>264</v>
      </c>
      <c r="C30" s="21"/>
      <c r="D30" s="21"/>
      <c r="E30" s="21"/>
      <c r="F30" s="21"/>
      <c r="G30" s="21"/>
      <c r="H30" s="21"/>
      <c r="I30" s="21"/>
      <c r="J30" s="21"/>
    </row>
    <row r="31" customFormat="false" ht="19.5" hidden="false" customHeight="true" outlineLevel="0" collapsed="false">
      <c r="B31" s="41" t="s">
        <v>217</v>
      </c>
      <c r="C31" s="41" t="s">
        <v>218</v>
      </c>
      <c r="D31" s="41" t="s">
        <v>219</v>
      </c>
      <c r="E31" s="41" t="s">
        <v>220</v>
      </c>
      <c r="F31" s="41" t="s">
        <v>221</v>
      </c>
      <c r="G31" s="41" t="s">
        <v>222</v>
      </c>
      <c r="H31" s="41" t="s">
        <v>223</v>
      </c>
      <c r="I31" s="41" t="s">
        <v>224</v>
      </c>
      <c r="J31" s="41" t="s">
        <v>225</v>
      </c>
    </row>
    <row r="32" customFormat="false" ht="15" hidden="false" customHeight="false" outlineLevel="0" collapsed="false">
      <c r="B32" s="47" t="s">
        <v>265</v>
      </c>
      <c r="C32" s="51" t="n">
        <v>349</v>
      </c>
      <c r="D32" s="49" t="s">
        <v>266</v>
      </c>
      <c r="E32" s="49" t="s">
        <v>267</v>
      </c>
      <c r="F32" s="49" t="s">
        <v>229</v>
      </c>
      <c r="G32" s="50" t="s">
        <v>268</v>
      </c>
      <c r="H32" s="49" t="s">
        <v>231</v>
      </c>
      <c r="I32" s="49" t="s">
        <v>229</v>
      </c>
      <c r="J32" s="47" t="s">
        <v>269</v>
      </c>
    </row>
    <row r="33" customFormat="false" ht="15" hidden="false" customHeight="false" outlineLevel="0" collapsed="false">
      <c r="B33" s="47" t="s">
        <v>270</v>
      </c>
      <c r="C33" s="51" t="n">
        <v>314</v>
      </c>
      <c r="D33" s="49" t="s">
        <v>266</v>
      </c>
      <c r="E33" s="49" t="s">
        <v>267</v>
      </c>
      <c r="F33" s="49" t="s">
        <v>229</v>
      </c>
      <c r="G33" s="50" t="s">
        <v>268</v>
      </c>
      <c r="H33" s="49" t="s">
        <v>231</v>
      </c>
      <c r="I33" s="49" t="s">
        <v>229</v>
      </c>
      <c r="J33" s="47" t="s">
        <v>271</v>
      </c>
    </row>
    <row r="34" customFormat="false" ht="15" hidden="false" customHeight="false" outlineLevel="0" collapsed="false">
      <c r="B34" s="47" t="s">
        <v>272</v>
      </c>
      <c r="C34" s="51" t="s">
        <v>273</v>
      </c>
      <c r="D34" s="49" t="s">
        <v>266</v>
      </c>
      <c r="E34" s="49" t="s">
        <v>274</v>
      </c>
      <c r="F34" s="49" t="s">
        <v>243</v>
      </c>
      <c r="G34" s="50" t="s">
        <v>230</v>
      </c>
      <c r="H34" s="49" t="s">
        <v>231</v>
      </c>
      <c r="I34" s="49" t="s">
        <v>229</v>
      </c>
      <c r="J34" s="47" t="s">
        <v>275</v>
      </c>
    </row>
    <row r="36" customFormat="false" ht="19.5" hidden="false" customHeight="true" outlineLevel="0" collapsed="false">
      <c r="B36" s="21" t="s">
        <v>276</v>
      </c>
      <c r="C36" s="21"/>
      <c r="D36" s="21"/>
      <c r="E36" s="21"/>
      <c r="F36" s="21"/>
      <c r="G36" s="21"/>
      <c r="H36" s="21"/>
      <c r="I36" s="21"/>
      <c r="J36" s="21"/>
    </row>
    <row r="37" customFormat="false" ht="19.5" hidden="false" customHeight="true" outlineLevel="0" collapsed="false">
      <c r="B37" s="41" t="s">
        <v>217</v>
      </c>
      <c r="C37" s="41" t="s">
        <v>218</v>
      </c>
      <c r="D37" s="41" t="s">
        <v>219</v>
      </c>
      <c r="E37" s="41" t="s">
        <v>220</v>
      </c>
      <c r="F37" s="41" t="s">
        <v>221</v>
      </c>
      <c r="G37" s="41" t="s">
        <v>222</v>
      </c>
      <c r="H37" s="41" t="s">
        <v>223</v>
      </c>
      <c r="I37" s="41" t="s">
        <v>224</v>
      </c>
      <c r="J37" s="41" t="s">
        <v>225</v>
      </c>
    </row>
    <row r="38" customFormat="false" ht="15" hidden="false" customHeight="false" outlineLevel="0" collapsed="false">
      <c r="B38" s="47" t="s">
        <v>277</v>
      </c>
      <c r="C38" s="48" t="n">
        <v>0.06</v>
      </c>
      <c r="D38" s="49" t="s">
        <v>278</v>
      </c>
      <c r="E38" s="49" t="s">
        <v>279</v>
      </c>
      <c r="F38" s="49" t="s">
        <v>243</v>
      </c>
      <c r="G38" s="50" t="s">
        <v>280</v>
      </c>
      <c r="H38" s="49" t="s">
        <v>231</v>
      </c>
      <c r="I38" s="49" t="s">
        <v>229</v>
      </c>
      <c r="J38" s="47" t="s">
        <v>281</v>
      </c>
    </row>
    <row r="39" customFormat="false" ht="15" hidden="false" customHeight="false" outlineLevel="0" collapsed="false">
      <c r="B39" s="47" t="s">
        <v>282</v>
      </c>
      <c r="C39" s="51" t="s">
        <v>283</v>
      </c>
      <c r="D39" s="49" t="s">
        <v>83</v>
      </c>
      <c r="E39" s="49" t="s">
        <v>284</v>
      </c>
      <c r="F39" s="49" t="s">
        <v>243</v>
      </c>
      <c r="G39" s="50" t="s">
        <v>280</v>
      </c>
      <c r="H39" s="49" t="s">
        <v>231</v>
      </c>
      <c r="I39" s="49" t="s">
        <v>229</v>
      </c>
      <c r="J39" s="47" t="s">
        <v>285</v>
      </c>
    </row>
    <row r="41" customFormat="false" ht="19.5" hidden="false" customHeight="true" outlineLevel="0" collapsed="false">
      <c r="B41" s="21" t="s">
        <v>286</v>
      </c>
      <c r="C41" s="21"/>
      <c r="D41" s="21"/>
      <c r="E41" s="21"/>
      <c r="F41" s="21"/>
      <c r="G41" s="21"/>
      <c r="H41" s="21"/>
      <c r="I41" s="21"/>
      <c r="J41" s="21"/>
    </row>
    <row r="42" customFormat="false" ht="19.5" hidden="false" customHeight="true" outlineLevel="0" collapsed="false">
      <c r="B42" s="41" t="s">
        <v>217</v>
      </c>
      <c r="C42" s="41" t="s">
        <v>218</v>
      </c>
      <c r="D42" s="41" t="s">
        <v>219</v>
      </c>
      <c r="E42" s="41" t="s">
        <v>220</v>
      </c>
      <c r="F42" s="41" t="s">
        <v>221</v>
      </c>
      <c r="G42" s="41" t="s">
        <v>222</v>
      </c>
      <c r="H42" s="41" t="s">
        <v>223</v>
      </c>
      <c r="I42" s="41" t="s">
        <v>224</v>
      </c>
      <c r="J42" s="41" t="s">
        <v>225</v>
      </c>
    </row>
    <row r="43" customFormat="false" ht="15" hidden="false" customHeight="false" outlineLevel="0" collapsed="false">
      <c r="B43" s="47" t="s">
        <v>287</v>
      </c>
      <c r="C43" s="51" t="n">
        <v>8</v>
      </c>
      <c r="D43" s="49" t="s">
        <v>288</v>
      </c>
      <c r="E43" s="49" t="s">
        <v>289</v>
      </c>
      <c r="F43" s="49" t="s">
        <v>243</v>
      </c>
      <c r="G43" s="50" t="s">
        <v>268</v>
      </c>
      <c r="H43" s="49" t="s">
        <v>231</v>
      </c>
      <c r="I43" s="49" t="s">
        <v>229</v>
      </c>
      <c r="J43" s="47" t="s">
        <v>281</v>
      </c>
    </row>
    <row r="44" customFormat="false" ht="15" hidden="false" customHeight="false" outlineLevel="0" collapsed="false">
      <c r="B44" s="47" t="s">
        <v>290</v>
      </c>
      <c r="C44" s="51" t="n">
        <v>4</v>
      </c>
      <c r="D44" s="49" t="s">
        <v>291</v>
      </c>
      <c r="E44" s="49" t="s">
        <v>292</v>
      </c>
      <c r="F44" s="49" t="s">
        <v>243</v>
      </c>
      <c r="G44" s="50" t="s">
        <v>230</v>
      </c>
      <c r="H44" s="49" t="s">
        <v>231</v>
      </c>
      <c r="I44" s="49" t="s">
        <v>229</v>
      </c>
      <c r="J44" s="47" t="s">
        <v>293</v>
      </c>
    </row>
    <row r="45" customFormat="false" ht="15" hidden="false" customHeight="false" outlineLevel="0" collapsed="false">
      <c r="B45" s="47" t="s">
        <v>186</v>
      </c>
      <c r="C45" s="48" t="n">
        <v>0.4</v>
      </c>
      <c r="D45" s="49" t="s">
        <v>294</v>
      </c>
      <c r="E45" s="49" t="s">
        <v>295</v>
      </c>
      <c r="F45" s="49" t="s">
        <v>243</v>
      </c>
      <c r="G45" s="50" t="s">
        <v>230</v>
      </c>
      <c r="H45" s="49" t="s">
        <v>231</v>
      </c>
      <c r="I45" s="49" t="s">
        <v>229</v>
      </c>
      <c r="J45" s="47"/>
    </row>
    <row r="46" customFormat="false" ht="15" hidden="false" customHeight="false" outlineLevel="0" collapsed="false">
      <c r="B46" s="47" t="s">
        <v>296</v>
      </c>
      <c r="C46" s="48" t="n">
        <v>0.1</v>
      </c>
      <c r="D46" s="49" t="s">
        <v>297</v>
      </c>
      <c r="E46" s="49" t="s">
        <v>295</v>
      </c>
      <c r="F46" s="49" t="s">
        <v>243</v>
      </c>
      <c r="G46" s="50" t="s">
        <v>230</v>
      </c>
      <c r="H46" s="49" t="s">
        <v>231</v>
      </c>
      <c r="I46" s="49" t="s">
        <v>229</v>
      </c>
      <c r="J46" s="47"/>
    </row>
    <row r="48" customFormat="false" ht="19.5" hidden="false" customHeight="true" outlineLevel="0" collapsed="false">
      <c r="B48" s="21" t="s">
        <v>298</v>
      </c>
      <c r="C48" s="21"/>
      <c r="D48" s="21"/>
      <c r="E48" s="21"/>
      <c r="F48" s="21"/>
      <c r="G48" s="21"/>
      <c r="H48" s="21"/>
      <c r="I48" s="21"/>
      <c r="J48" s="21"/>
    </row>
    <row r="49" customFormat="false" ht="19.5" hidden="false" customHeight="true" outlineLevel="0" collapsed="false">
      <c r="B49" s="41" t="s">
        <v>217</v>
      </c>
      <c r="C49" s="41" t="s">
        <v>218</v>
      </c>
      <c r="D49" s="41" t="s">
        <v>219</v>
      </c>
      <c r="E49" s="41" t="s">
        <v>220</v>
      </c>
      <c r="F49" s="41" t="s">
        <v>221</v>
      </c>
      <c r="G49" s="41" t="s">
        <v>222</v>
      </c>
      <c r="H49" s="41" t="s">
        <v>223</v>
      </c>
      <c r="I49" s="41" t="s">
        <v>224</v>
      </c>
      <c r="J49" s="41" t="s">
        <v>225</v>
      </c>
    </row>
    <row r="50" customFormat="false" ht="15" hidden="false" customHeight="false" outlineLevel="0" collapsed="false">
      <c r="B50" s="47" t="s">
        <v>299</v>
      </c>
      <c r="C50" s="48" t="n">
        <v>0.02</v>
      </c>
      <c r="D50" s="49" t="s">
        <v>300</v>
      </c>
      <c r="E50" s="49" t="s">
        <v>301</v>
      </c>
      <c r="F50" s="49" t="s">
        <v>243</v>
      </c>
      <c r="G50" s="50" t="s">
        <v>230</v>
      </c>
      <c r="H50" s="49" t="s">
        <v>231</v>
      </c>
      <c r="I50" s="49" t="s">
        <v>229</v>
      </c>
      <c r="J50" s="47"/>
    </row>
    <row r="51" customFormat="false" ht="15" hidden="false" customHeight="false" outlineLevel="0" collapsed="false">
      <c r="B51" s="47" t="s">
        <v>302</v>
      </c>
      <c r="C51" s="48" t="n">
        <v>0.01</v>
      </c>
      <c r="D51" s="49" t="s">
        <v>303</v>
      </c>
      <c r="E51" s="49" t="s">
        <v>304</v>
      </c>
      <c r="F51" s="49" t="s">
        <v>243</v>
      </c>
      <c r="G51" s="50" t="s">
        <v>268</v>
      </c>
      <c r="H51" s="49" t="s">
        <v>231</v>
      </c>
      <c r="I51" s="49" t="s">
        <v>229</v>
      </c>
      <c r="J51" s="47"/>
    </row>
    <row r="53" customFormat="false" ht="19.5" hidden="false" customHeight="true" outlineLevel="0" collapsed="false">
      <c r="B53" s="21" t="s">
        <v>305</v>
      </c>
      <c r="C53" s="21"/>
      <c r="D53" s="21"/>
      <c r="E53" s="21"/>
      <c r="F53" s="21"/>
      <c r="G53" s="21"/>
      <c r="H53" s="21"/>
      <c r="I53" s="21"/>
      <c r="J53" s="21"/>
    </row>
    <row r="54" customFormat="false" ht="19.5" hidden="false" customHeight="true" outlineLevel="0" collapsed="false">
      <c r="B54" s="41" t="s">
        <v>217</v>
      </c>
      <c r="C54" s="41" t="s">
        <v>218</v>
      </c>
      <c r="D54" s="41" t="s">
        <v>219</v>
      </c>
      <c r="E54" s="41" t="s">
        <v>220</v>
      </c>
      <c r="F54" s="41" t="s">
        <v>221</v>
      </c>
      <c r="G54" s="41" t="s">
        <v>222</v>
      </c>
      <c r="H54" s="41" t="s">
        <v>223</v>
      </c>
      <c r="I54" s="41" t="s">
        <v>224</v>
      </c>
      <c r="J54" s="41" t="s">
        <v>225</v>
      </c>
    </row>
    <row r="55" customFormat="false" ht="15" hidden="false" customHeight="false" outlineLevel="0" collapsed="false">
      <c r="B55" s="47" t="s">
        <v>306</v>
      </c>
      <c r="C55" s="52" t="n">
        <v>180000</v>
      </c>
      <c r="D55" s="49" t="s">
        <v>83</v>
      </c>
      <c r="E55" s="49" t="s">
        <v>307</v>
      </c>
      <c r="F55" s="49" t="s">
        <v>229</v>
      </c>
      <c r="G55" s="50" t="s">
        <v>268</v>
      </c>
      <c r="H55" s="49" t="s">
        <v>231</v>
      </c>
      <c r="I55" s="49" t="s">
        <v>229</v>
      </c>
      <c r="J55" s="47" t="s">
        <v>308</v>
      </c>
    </row>
    <row r="56" customFormat="false" ht="15" hidden="false" customHeight="false" outlineLevel="0" collapsed="false">
      <c r="B56" s="47" t="s">
        <v>309</v>
      </c>
      <c r="C56" s="48" t="n">
        <v>0.12</v>
      </c>
      <c r="D56" s="49" t="s">
        <v>310</v>
      </c>
      <c r="E56" s="49" t="s">
        <v>304</v>
      </c>
      <c r="F56" s="49" t="s">
        <v>243</v>
      </c>
      <c r="G56" s="50" t="s">
        <v>268</v>
      </c>
      <c r="H56" s="49" t="s">
        <v>231</v>
      </c>
      <c r="I56" s="49" t="s">
        <v>229</v>
      </c>
      <c r="J56" s="47" t="s">
        <v>311</v>
      </c>
    </row>
    <row r="58" customFormat="false" ht="19.5" hidden="false" customHeight="true" outlineLevel="0" collapsed="false">
      <c r="B58" s="21" t="s">
        <v>312</v>
      </c>
      <c r="C58" s="21"/>
      <c r="D58" s="21"/>
      <c r="E58" s="21"/>
      <c r="F58" s="21"/>
      <c r="G58" s="21"/>
      <c r="H58" s="21"/>
      <c r="I58" s="21"/>
      <c r="J58" s="21"/>
    </row>
    <row r="59" customFormat="false" ht="19.5" hidden="false" customHeight="true" outlineLevel="0" collapsed="false">
      <c r="B59" s="41" t="s">
        <v>217</v>
      </c>
      <c r="C59" s="41" t="s">
        <v>218</v>
      </c>
      <c r="D59" s="41" t="s">
        <v>219</v>
      </c>
      <c r="E59" s="41" t="s">
        <v>220</v>
      </c>
      <c r="F59" s="41" t="s">
        <v>221</v>
      </c>
      <c r="G59" s="41" t="s">
        <v>222</v>
      </c>
      <c r="H59" s="41" t="s">
        <v>223</v>
      </c>
      <c r="I59" s="41" t="s">
        <v>224</v>
      </c>
      <c r="J59" s="41" t="s">
        <v>225</v>
      </c>
    </row>
    <row r="60" customFormat="false" ht="15" hidden="false" customHeight="false" outlineLevel="0" collapsed="false">
      <c r="B60" s="47" t="s">
        <v>313</v>
      </c>
      <c r="C60" s="52" t="n">
        <v>2000000</v>
      </c>
      <c r="D60" s="49" t="s">
        <v>83</v>
      </c>
      <c r="E60" s="49" t="s">
        <v>314</v>
      </c>
      <c r="F60" s="49" t="s">
        <v>229</v>
      </c>
      <c r="G60" s="50" t="s">
        <v>268</v>
      </c>
      <c r="H60" s="49" t="s">
        <v>231</v>
      </c>
      <c r="I60" s="49" t="s">
        <v>229</v>
      </c>
      <c r="J60" s="47" t="s">
        <v>315</v>
      </c>
    </row>
    <row r="61" customFormat="false" ht="15" hidden="false" customHeight="false" outlineLevel="0" collapsed="false">
      <c r="B61" s="47" t="s">
        <v>316</v>
      </c>
      <c r="C61" s="51" t="s">
        <v>317</v>
      </c>
      <c r="D61" s="49" t="s">
        <v>83</v>
      </c>
      <c r="E61" s="49" t="s">
        <v>318</v>
      </c>
      <c r="F61" s="49" t="s">
        <v>319</v>
      </c>
      <c r="G61" s="53" t="s">
        <v>320</v>
      </c>
      <c r="H61" s="49" t="s">
        <v>231</v>
      </c>
      <c r="I61" s="49" t="s">
        <v>229</v>
      </c>
      <c r="J61" s="47" t="s">
        <v>321</v>
      </c>
    </row>
    <row r="63" customFormat="false" ht="15" hidden="false" customHeight="true" outlineLevel="0" collapsed="false">
      <c r="B63" s="54" t="s">
        <v>48</v>
      </c>
      <c r="C63" s="54"/>
      <c r="D63" s="54"/>
      <c r="E63" s="54"/>
      <c r="F63" s="54"/>
      <c r="G63" s="54"/>
      <c r="H63" s="54"/>
      <c r="I63" s="54"/>
      <c r="J63" s="54"/>
    </row>
    <row r="64" customFormat="false" ht="15" hidden="false" customHeight="false" outlineLevel="0" collapsed="false">
      <c r="B64" s="54"/>
      <c r="C64" s="54"/>
      <c r="D64" s="54"/>
      <c r="E64" s="54"/>
      <c r="F64" s="54"/>
      <c r="G64" s="54"/>
      <c r="H64" s="54"/>
      <c r="I64" s="54"/>
      <c r="J64" s="54"/>
    </row>
    <row r="65" customFormat="false" ht="15" hidden="false" customHeight="false" outlineLevel="0" collapsed="false">
      <c r="B65" s="54"/>
      <c r="C65" s="54"/>
      <c r="D65" s="54"/>
      <c r="E65" s="54"/>
      <c r="F65" s="54"/>
      <c r="G65" s="54"/>
      <c r="H65" s="54"/>
      <c r="I65" s="54"/>
      <c r="J65" s="54"/>
    </row>
  </sheetData>
  <mergeCells count="11">
    <mergeCell ref="B8:J8"/>
    <mergeCell ref="B14:J14"/>
    <mergeCell ref="B20:J20"/>
    <mergeCell ref="B25:J25"/>
    <mergeCell ref="B30:J30"/>
    <mergeCell ref="B36:J36"/>
    <mergeCell ref="B41:J41"/>
    <mergeCell ref="B48:J48"/>
    <mergeCell ref="B53:J53"/>
    <mergeCell ref="B58:J58"/>
    <mergeCell ref="B63:J65"/>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AEC6"/>
    <pageSetUpPr fitToPage="false"/>
  </sheetPr>
  <dimension ref="B2:H15"/>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1" ySplit="8" topLeftCell="B9" activePane="bottomRight" state="frozen"/>
      <selection pane="topLeft" activeCell="A1" activeCellId="0" sqref="A1"/>
      <selection pane="topRight" activeCell="B1" activeCellId="0" sqref="B1"/>
      <selection pane="bottomLeft" activeCell="A9" activeCellId="0" sqref="A9"/>
      <selection pane="bottomRight" activeCell="A1" activeCellId="0" sqref="A1"/>
    </sheetView>
  </sheetViews>
  <sheetFormatPr defaultColWidth="8.6796875" defaultRowHeight="15" zeroHeight="false" outlineLevelRow="0" outlineLevelCol="0"/>
  <cols>
    <col collapsed="false" customWidth="true" hidden="false" outlineLevel="0" max="2" min="2" style="0" width="34"/>
    <col collapsed="false" customWidth="true" hidden="false" outlineLevel="0" max="3" min="3" style="0" width="30"/>
    <col collapsed="false" customWidth="true" hidden="false" outlineLevel="0" max="4" min="4" style="0" width="10"/>
    <col collapsed="false" customWidth="true" hidden="false" outlineLevel="0" max="5" min="5" style="0" width="24"/>
    <col collapsed="false" customWidth="true" hidden="false" outlineLevel="0" max="6" min="6" style="0" width="26"/>
  </cols>
  <sheetData>
    <row r="2" customFormat="false" ht="24" hidden="false" customHeight="true" outlineLevel="0" collapsed="false">
      <c r="E2" s="11" t="s">
        <v>322</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323</v>
      </c>
    </row>
    <row r="6" customFormat="false" ht="15" hidden="false" customHeight="false" outlineLevel="0" collapsed="false">
      <c r="B6" s="15" t="s">
        <v>324</v>
      </c>
    </row>
    <row r="8" customFormat="false" ht="19.5" hidden="false" customHeight="true" outlineLevel="0" collapsed="false">
      <c r="B8" s="41" t="s">
        <v>325</v>
      </c>
      <c r="C8" s="41" t="s">
        <v>220</v>
      </c>
      <c r="D8" s="41" t="s">
        <v>221</v>
      </c>
      <c r="E8" s="41" t="s">
        <v>222</v>
      </c>
      <c r="F8" s="41" t="s">
        <v>326</v>
      </c>
    </row>
    <row r="9" customFormat="false" ht="23.85" hidden="false" customHeight="false" outlineLevel="0" collapsed="false">
      <c r="B9" s="47" t="s">
        <v>327</v>
      </c>
      <c r="C9" s="47" t="s">
        <v>328</v>
      </c>
      <c r="D9" s="47" t="s">
        <v>329</v>
      </c>
      <c r="E9" s="47" t="s">
        <v>230</v>
      </c>
      <c r="F9" s="47" t="s">
        <v>330</v>
      </c>
    </row>
    <row r="10" customFormat="false" ht="15" hidden="false" customHeight="false" outlineLevel="0" collapsed="false">
      <c r="B10" s="47" t="s">
        <v>331</v>
      </c>
      <c r="C10" s="47" t="s">
        <v>332</v>
      </c>
      <c r="D10" s="47" t="s">
        <v>329</v>
      </c>
      <c r="E10" s="47" t="s">
        <v>230</v>
      </c>
      <c r="F10" s="47" t="s">
        <v>333</v>
      </c>
    </row>
    <row r="11" customFormat="false" ht="23.85" hidden="false" customHeight="false" outlineLevel="0" collapsed="false">
      <c r="B11" s="47" t="s">
        <v>334</v>
      </c>
      <c r="C11" s="47" t="s">
        <v>335</v>
      </c>
      <c r="D11" s="47" t="s">
        <v>243</v>
      </c>
      <c r="E11" s="47" t="s">
        <v>230</v>
      </c>
      <c r="F11" s="47" t="s">
        <v>336</v>
      </c>
    </row>
    <row r="12" customFormat="false" ht="23.85" hidden="false" customHeight="false" outlineLevel="0" collapsed="false">
      <c r="B12" s="47" t="s">
        <v>337</v>
      </c>
      <c r="C12" s="47" t="s">
        <v>338</v>
      </c>
      <c r="D12" s="47" t="s">
        <v>243</v>
      </c>
      <c r="E12" s="47" t="s">
        <v>244</v>
      </c>
      <c r="F12" s="47" t="s">
        <v>339</v>
      </c>
    </row>
    <row r="13" customFormat="false" ht="15" hidden="false" customHeight="false" outlineLevel="0" collapsed="false">
      <c r="B13" s="47" t="s">
        <v>340</v>
      </c>
      <c r="C13" s="47" t="s">
        <v>261</v>
      </c>
      <c r="D13" s="47" t="s">
        <v>243</v>
      </c>
      <c r="E13" s="47" t="s">
        <v>244</v>
      </c>
      <c r="F13" s="47" t="s">
        <v>341</v>
      </c>
    </row>
    <row r="14" customFormat="false" ht="15" hidden="false" customHeight="false" outlineLevel="0" collapsed="false">
      <c r="B14" s="47" t="s">
        <v>342</v>
      </c>
      <c r="C14" s="47" t="s">
        <v>228</v>
      </c>
      <c r="D14" s="47" t="s">
        <v>229</v>
      </c>
      <c r="E14" s="47" t="s">
        <v>230</v>
      </c>
      <c r="F14" s="47" t="s">
        <v>343</v>
      </c>
    </row>
    <row r="15" customFormat="false" ht="23.85" hidden="false" customHeight="false" outlineLevel="0" collapsed="false">
      <c r="B15" s="47" t="s">
        <v>344</v>
      </c>
      <c r="C15" s="47" t="s">
        <v>345</v>
      </c>
      <c r="D15" s="47" t="s">
        <v>229</v>
      </c>
      <c r="E15" s="47" t="s">
        <v>268</v>
      </c>
      <c r="F15" s="47" t="s">
        <v>346</v>
      </c>
    </row>
  </sheetData>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AAEC6"/>
    <pageSetUpPr fitToPage="false"/>
  </sheetPr>
  <dimension ref="B2:H16"/>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2" min="2" style="0" width="28"/>
    <col collapsed="false" customWidth="true" hidden="false" outlineLevel="0" max="3" min="3" style="0" width="24"/>
    <col collapsed="false" customWidth="true" hidden="false" outlineLevel="0" max="4" min="4" style="0" width="20"/>
    <col collapsed="false" customWidth="true" hidden="false" outlineLevel="0" max="5" min="5" style="0" width="10"/>
    <col collapsed="false" customWidth="true" hidden="false" outlineLevel="0" max="6" min="6" style="0" width="18"/>
    <col collapsed="false" customWidth="true" hidden="false" outlineLevel="0" max="7" min="7" style="0" width="16"/>
    <col collapsed="false" customWidth="true" hidden="false" outlineLevel="0" max="8" min="8" style="0" width="20"/>
  </cols>
  <sheetData>
    <row r="2" customFormat="false" ht="24" hidden="false" customHeight="true" outlineLevel="0" collapsed="false">
      <c r="E2" s="11" t="s">
        <v>347</v>
      </c>
      <c r="H2" s="12" t="s">
        <v>24</v>
      </c>
    </row>
    <row r="3" customFormat="false" ht="15" hidden="false" customHeight="false" outlineLevel="0" collapsed="false">
      <c r="B3" s="13" t="s">
        <v>25</v>
      </c>
      <c r="D3" s="13" t="s">
        <v>26</v>
      </c>
      <c r="F3" s="13" t="s">
        <v>27</v>
      </c>
      <c r="H3" s="13" t="s">
        <v>28</v>
      </c>
    </row>
    <row r="5" customFormat="false" ht="20.9" hidden="false" customHeight="false" outlineLevel="0" collapsed="false">
      <c r="B5" s="14" t="s">
        <v>348</v>
      </c>
    </row>
    <row r="6" customFormat="false" ht="15" hidden="false" customHeight="false" outlineLevel="0" collapsed="false">
      <c r="B6" s="15" t="s">
        <v>349</v>
      </c>
    </row>
    <row r="8" customFormat="false" ht="19.5" hidden="false" customHeight="true" outlineLevel="0" collapsed="false">
      <c r="B8" s="41" t="s">
        <v>350</v>
      </c>
      <c r="C8" s="41" t="s">
        <v>351</v>
      </c>
      <c r="D8" s="41" t="s">
        <v>352</v>
      </c>
      <c r="E8" s="41" t="s">
        <v>353</v>
      </c>
      <c r="F8" s="41" t="s">
        <v>354</v>
      </c>
      <c r="G8" s="41" t="s">
        <v>355</v>
      </c>
      <c r="H8" s="41" t="s">
        <v>222</v>
      </c>
    </row>
    <row r="9" customFormat="false" ht="15" hidden="false" customHeight="false" outlineLevel="0" collapsed="false">
      <c r="B9" s="42" t="s">
        <v>356</v>
      </c>
      <c r="C9" s="42" t="s">
        <v>357</v>
      </c>
      <c r="D9" s="42" t="s">
        <v>358</v>
      </c>
      <c r="E9" s="42" t="s">
        <v>359</v>
      </c>
      <c r="F9" s="42" t="s">
        <v>360</v>
      </c>
      <c r="G9" s="42" t="s">
        <v>361</v>
      </c>
      <c r="H9" s="42" t="s">
        <v>362</v>
      </c>
    </row>
    <row r="10" customFormat="false" ht="15" hidden="false" customHeight="false" outlineLevel="0" collapsed="false">
      <c r="B10" s="42" t="s">
        <v>363</v>
      </c>
      <c r="C10" s="42" t="s">
        <v>364</v>
      </c>
      <c r="D10" s="42" t="s">
        <v>358</v>
      </c>
      <c r="E10" s="42" t="s">
        <v>365</v>
      </c>
      <c r="F10" s="42" t="s">
        <v>360</v>
      </c>
      <c r="G10" s="42" t="s">
        <v>361</v>
      </c>
      <c r="H10" s="42" t="s">
        <v>362</v>
      </c>
    </row>
    <row r="11" customFormat="false" ht="15" hidden="false" customHeight="false" outlineLevel="0" collapsed="false">
      <c r="B11" s="42" t="s">
        <v>366</v>
      </c>
      <c r="C11" s="42" t="s">
        <v>357</v>
      </c>
      <c r="D11" s="42" t="s">
        <v>358</v>
      </c>
      <c r="E11" s="42" t="s">
        <v>359</v>
      </c>
      <c r="F11" s="42" t="s">
        <v>367</v>
      </c>
      <c r="G11" s="42" t="s">
        <v>368</v>
      </c>
      <c r="H11" s="42" t="s">
        <v>369</v>
      </c>
    </row>
    <row r="12" customFormat="false" ht="15" hidden="false" customHeight="false" outlineLevel="0" collapsed="false">
      <c r="B12" s="42" t="s">
        <v>370</v>
      </c>
      <c r="C12" s="42" t="s">
        <v>357</v>
      </c>
      <c r="D12" s="42" t="s">
        <v>358</v>
      </c>
      <c r="E12" s="42" t="s">
        <v>359</v>
      </c>
      <c r="F12" s="42" t="s">
        <v>367</v>
      </c>
      <c r="G12" s="42" t="s">
        <v>368</v>
      </c>
      <c r="H12" s="42" t="s">
        <v>371</v>
      </c>
    </row>
    <row r="13" customFormat="false" ht="15" hidden="false" customHeight="false" outlineLevel="0" collapsed="false">
      <c r="B13" s="42" t="s">
        <v>372</v>
      </c>
      <c r="C13" s="42" t="s">
        <v>357</v>
      </c>
      <c r="D13" s="42" t="s">
        <v>358</v>
      </c>
      <c r="E13" s="42" t="s">
        <v>359</v>
      </c>
      <c r="F13" s="42" t="s">
        <v>367</v>
      </c>
      <c r="G13" s="42" t="s">
        <v>368</v>
      </c>
      <c r="H13" s="42" t="s">
        <v>371</v>
      </c>
    </row>
    <row r="15" customFormat="false" ht="30" hidden="false" customHeight="true" outlineLevel="0" collapsed="false">
      <c r="B15" s="54" t="s">
        <v>373</v>
      </c>
      <c r="C15" s="54"/>
      <c r="D15" s="54"/>
      <c r="E15" s="54"/>
      <c r="F15" s="54"/>
      <c r="G15" s="54"/>
      <c r="H15" s="54"/>
    </row>
    <row r="16" customFormat="false" ht="30" hidden="false" customHeight="true" outlineLevel="0" collapsed="false">
      <c r="B16" s="54"/>
      <c r="C16" s="54"/>
      <c r="D16" s="54"/>
      <c r="E16" s="54"/>
      <c r="F16" s="54"/>
      <c r="G16" s="54"/>
      <c r="H16" s="54"/>
    </row>
  </sheetData>
  <mergeCells count="1">
    <mergeCell ref="B15:H16"/>
  </mergeCells>
  <hyperlinks>
    <hyperlink ref="B3" r:id="rId1" location="'02_Executive_Dashboard'!B2" display="Dashboard"/>
    <hyperlink ref="D3" r:id="rId2" location="'05_Assumptions'!B2" display="Assumptions"/>
    <hyperlink ref="F3" r:id="rId3" location="'23_Monthly_PnL'!B2" display="Statements"/>
    <hyperlink ref="H3" r:id="rId4" location="'32_Model_Checks'!B2" display="Checks"/>
  </hyperlink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&amp;LKILDE — Integrated Financial Operating Model&amp;Rv3.5 · Public — controlled release · &amp;D</oddHeader>
    <oddFooter>&amp;LKILDE Kokosvann · Integrated Financial Operating Model v3.5 · Public — controlled release&amp;RPage &amp;P of &amp;N</oddFooter>
  </headerFooter>
  <drawing r:id="rId5"/>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2026-07-19T16:05:01Z</dcterms:created>
  <dc:creator>openpyxl</dc:creator>
  <dc:description/>
  <dc:language>en-US</dc:language>
  <cp:lastModifiedBy/>
  <dcterms:modified xsi:type="dcterms:W3CDTF">2026-07-19T16:05:05Z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